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alexi\Downloads\"/>
    </mc:Choice>
  </mc:AlternateContent>
  <xr:revisionPtr revIDLastSave="0" documentId="13_ncr:1_{40A9712B-D1C4-4AFE-A3FB-835C7174AA36}" xr6:coauthVersionLast="47" xr6:coauthVersionMax="47" xr10:uidLastSave="{00000000-0000-0000-0000-000000000000}"/>
  <bookViews>
    <workbookView minimized="1" xWindow="1480" yWindow="1480" windowWidth="14400" windowHeight="7460" activeTab="1" xr2:uid="{8F734721-2CB3-9848-BC12-36F644E3359A}"/>
  </bookViews>
  <sheets>
    <sheet name="Stabilito" sheetId="6" r:id="rId1"/>
    <sheet name="Trajecto" sheetId="1" r:id="rId2"/>
    <sheet name="Courbes" sheetId="2" r:id="rId3"/>
    <sheet name="Propu" sheetId="4" r:id="rId4"/>
    <sheet name="Calculs" sheetId="3" r:id="rId5"/>
    <sheet name="Abaco" sheetId="8" r:id="rId6"/>
    <sheet name="Info" sheetId="5" r:id="rId7"/>
    <sheet name="Controle" sheetId="7" r:id="rId8"/>
  </sheets>
  <definedNames>
    <definedName name="_xlnm._FilterDatabase" localSheetId="3" hidden="1">Propu!$O$307:$P$335</definedName>
    <definedName name="a_prop">Abaco!$G$41:$G$67</definedName>
    <definedName name="Acc_max">Trajecto!$L$24</definedName>
    <definedName name="acc_x">Calculs!$D$4:$D$1004</definedName>
    <definedName name="acc_xz">Calculs!$F$4:$F$1004</definedName>
    <definedName name="acc_z">Calculs!$E$4:$E$1004</definedName>
    <definedName name="Alt_para">Trajecto!$I$27</definedName>
    <definedName name="alt_prop">Abaco!$J$41:$J$67</definedName>
    <definedName name="Alt_rampe">Trajecto!$C$20</definedName>
    <definedName name="Alt_sat">Trajecto!$I$25</definedName>
    <definedName name="Altitude_culmi">Trajecto!$I$26</definedName>
    <definedName name="b_bal">Abaco!$I$41:$I$67</definedName>
    <definedName name="b_prop">Abaco!$H$41:$H$67</definedName>
    <definedName name="Beta">Calculs!$M$4:$M$1004</definedName>
    <definedName name="Beta_rampe">Trajecto!$C$19</definedName>
    <definedName name="BetaD">Calculs!$N$4:$N$1004</definedName>
    <definedName name="CdP">Propu!$B$3:$Y$4</definedName>
    <definedName name="CdP_P">Propu!$B$4:$Y$4</definedName>
    <definedName name="CdP_t">Propu!$B$3:$Y$3</definedName>
    <definedName name="Club">Stabilito!$C$9</definedName>
    <definedName name="Cn">Stabilito!$H$28</definedName>
    <definedName name="Cn0">Stabilito!$I$28</definedName>
    <definedName name="Cnai" localSheetId="0">Stabilito!$O$19</definedName>
    <definedName name="Cnai0">Stabilito!$P$19</definedName>
    <definedName name="Cnail" localSheetId="0">Stabilito!$O$20</definedName>
    <definedName name="Cnc" localSheetId="0">Stabilito!$O$21</definedName>
    <definedName name="Cni" localSheetId="0">Stabilito!$O$22</definedName>
    <definedName name="Cni0">Stabilito!$P$22</definedName>
    <definedName name="Cnj" localSheetId="0">Stabilito!$O$23</definedName>
    <definedName name="Cno" localSheetId="0">Stabilito!$O$18</definedName>
    <definedName name="Cnr" localSheetId="0">Stabilito!$O$24</definedName>
    <definedName name="Combustion">Propu!$X$2</definedName>
    <definedName name="CritCnmax" localSheetId="0">Stabilito!$J$28</definedName>
    <definedName name="CritCnmin" localSheetId="0">Stabilito!$G$28</definedName>
    <definedName name="CritFinessemax" localSheetId="0">Stabilito!$J$27</definedName>
    <definedName name="CritFinessemin" localSheetId="0">Stabilito!$G$27</definedName>
    <definedName name="CritMsCnmax" localSheetId="0">Stabilito!$J$30</definedName>
    <definedName name="CritMsCnmin" localSheetId="0">Stabilito!$G$30</definedName>
    <definedName name="CritMsmax" localSheetId="0">Stabilito!$J$29</definedName>
    <definedName name="CritMsmin" localSheetId="0">Stabilito!$G$29</definedName>
    <definedName name="Cx">Trajecto!$C$15</definedName>
    <definedName name="Cx_para">Trajecto!$C$28</definedName>
    <definedName name="Cx_satellite">Trajecto!$D$28</definedName>
    <definedName name="D_ail">Stabilito!$C$34</definedName>
    <definedName name="D_can" localSheetId="0">Stabilito!$D$34</definedName>
    <definedName name="D_int" localSheetId="0">Stabilito!$E$34</definedName>
    <definedName name="D_og">Stabilito!$C$23</definedName>
    <definedName name="D_ref">Stabilito!$C$14</definedName>
    <definedName name="D_var">Abaco!$B$41:$B$67</definedName>
    <definedName name="D1j">Stabilito!$M$7</definedName>
    <definedName name="D1r">Stabilito!$O$7</definedName>
    <definedName name="D2j">Stabilito!$M$8</definedName>
    <definedName name="D2r">Stabilito!$O$8</definedName>
    <definedName name="Débit">Calculs!$R$4:$R$1004</definedName>
    <definedName name="Depotage">Propu!$Z$2</definedName>
    <definedName name="Diam_propu">Propu!$T$2</definedName>
    <definedName name="Dt_para">Trajecto!$C$31</definedName>
    <definedName name="Dt_satellite">Trajecto!$D$31</definedName>
    <definedName name="Dx_para">Trajecto!$C$33</definedName>
    <definedName name="Dx_sat">Trajecto!$D$33</definedName>
    <definedName name="E_ail">Stabilito!$C$30</definedName>
    <definedName name="E_can">Stabilito!$D$30</definedName>
    <definedName name="E_int" localSheetId="0">Stabilito!$E$30</definedName>
    <definedName name="ep_ail">Stabilito!$C$31</definedName>
    <definedName name="ep_can">Stabilito!$D$31</definedName>
    <definedName name="ep_int" localSheetId="0">Stabilito!$E$31</definedName>
    <definedName name="Event">Calculs!$Y$4:$Y$1004</definedName>
    <definedName name="Event_para">Calculs!$Z$4:$Z$1004</definedName>
    <definedName name="Event_sat">Calculs!$AA$4:$AA$1004</definedName>
    <definedName name="f_ail" localSheetId="0">Stabilito!$C$35</definedName>
    <definedName name="f_can" localSheetId="0">Stabilito!$D$35</definedName>
    <definedName name="f_int" localSheetId="0">Stabilito!$E$35</definedName>
    <definedName name="Finesse">Stabilito!$H$27</definedName>
    <definedName name="Forme_ogive">Stabilito!$C$21</definedName>
    <definedName name="g">Info!$E$51</definedName>
    <definedName name="i_P">Calculs!$P$4:$P$1004</definedName>
    <definedName name="I_total">Propu!$D$2</definedName>
    <definedName name="ISP">Propu!$F$2</definedName>
    <definedName name="l_j">Stabilito!$M$6</definedName>
    <definedName name="l_r">Stabilito!$O$6</definedName>
    <definedName name="L_rampe">Trajecto!$C$18</definedName>
    <definedName name="Lang">Stabilito!$M$2</definedName>
    <definedName name="Liste_µfu">Propu!$F$307:$F$336</definedName>
    <definedName name="Liste_fusex">Propu!$R$307:$R$336</definedName>
    <definedName name="Liste_H2O">Propu!$C$307:$D$336</definedName>
    <definedName name="Liste_minif">Propu!$L$307:$M$336</definedName>
    <definedName name="Liste_minifT">Propu!$O$307:$O$336</definedName>
    <definedName name="Liste_propu">Propu!$A$307:$A$317</definedName>
    <definedName name="Liste_RC">Propu!$I$307:$J$336</definedName>
    <definedName name="Long_ogive">Stabilito!$C$22</definedName>
    <definedName name="Long_propu">Propu!$R$2</definedName>
    <definedName name="Long_tot">Stabilito!$C$13</definedName>
    <definedName name="m">Calculs!$S$4:$S$1004</definedName>
    <definedName name="m_ail">Stabilito!$C$27</definedName>
    <definedName name="m_bal">Abaco!$F$41:$F$67</definedName>
    <definedName name="m_can">Stabilito!$D$27</definedName>
    <definedName name="m_int" localSheetId="0">Stabilito!$E$27</definedName>
    <definedName name="m_poudre">Propu!$J$2</definedName>
    <definedName name="m_prop">Abaco!$E$41:$E$67</definedName>
    <definedName name="m_satellite">Trajecto!$D$24</definedName>
    <definedName name="m_tot">Trajecto!$C$10</definedName>
    <definedName name="m_var">Abaco!$D$41:$D$67</definedName>
    <definedName name="m_vide">Trajecto!$C$24</definedName>
    <definedName name="Masse_ail">Controle!$H$63</definedName>
    <definedName name="MassePlein">Stabilito!$M$14</definedName>
    <definedName name="MasseSans">Stabilito!$P$14</definedName>
    <definedName name="MasseVide">Stabilito!$N$14</definedName>
    <definedName name="Menu_Empennage">Stabilito!$B$111:$B$112</definedName>
    <definedName name="Menu_Lang">Stabilito!$B$93:$B$94</definedName>
    <definedName name="Menu_Ogive">Stabilito!$B$107:$B$109</definedName>
    <definedName name="Menu_sat">Trajecto!$B$104:$B$105</definedName>
    <definedName name="Menu_Transitions">Stabilito!$B$114:$B$115</definedName>
    <definedName name="Menu_Type">Stabilito!$B$96:$B$100</definedName>
    <definedName name="Menu_with_motor">Stabilito!$B$103:$B$105</definedName>
    <definedName name="MpropuPlein">Propu!$H$2</definedName>
    <definedName name="MpropuVide">Propu!$L$2</definedName>
    <definedName name="MS_Cn_max">Stabilito!$I$30</definedName>
    <definedName name="MS_Cn_max0">Stabilito!#REF!</definedName>
    <definedName name="MS_Cn_min">Stabilito!$H$30</definedName>
    <definedName name="MS_Cn_min0">Stabilito!#REF!</definedName>
    <definedName name="MS_max">Stabilito!$I$29</definedName>
    <definedName name="MS_max0">Stabilito!#REF!</definedName>
    <definedName name="MS_min">Stabilito!$H$29</definedName>
    <definedName name="MS_min0">Stabilito!#REF!</definedName>
    <definedName name="n_ail">Stabilito!$C$28</definedName>
    <definedName name="n_can">Stabilito!$D$28</definedName>
    <definedName name="n_int" localSheetId="0">Stabilito!$E$28</definedName>
    <definedName name="Nb_diam">Stabilito!$M$4</definedName>
    <definedName name="Nb_sat">Trajecto!$D$23</definedName>
    <definedName name="Nom">Stabilito!$C$8</definedName>
    <definedName name="p_ail">Stabilito!$C$29</definedName>
    <definedName name="p_can">Stabilito!$D$29</definedName>
    <definedName name="p_int" localSheetId="0">Stabilito!$E$29</definedName>
    <definedName name="pas">Calculs!$A$4:$A$1004</definedName>
    <definedName name="Poids">Calculs!$T$4:$T$1004</definedName>
    <definedName name="Portee_balistique">Trajecto!$J$28</definedName>
    <definedName name="pos_x">Calculs!$J$4:$J$1004</definedName>
    <definedName name="pos_xz">Calculs!$L$4:$L$1004</definedName>
    <definedName name="pos_z">Calculs!$K$4:$K$1004</definedName>
    <definedName name="pos_z_montant">Calculs!$AE$4:$AE$1004</definedName>
    <definedName name="Poussee">Calculs!$Q$4:$Q$1004</definedName>
    <definedName name="Propu">Stabilito!$C$17</definedName>
    <definedName name="Q_ail">Stabilito!$C$32</definedName>
    <definedName name="Q_can">Stabilito!$D$32</definedName>
    <definedName name="Q_int" localSheetId="0">Stabilito!$E$32</definedName>
    <definedName name="Q_var">Abaco!$C$41:$C$67</definedName>
    <definedName name="R_rampe">Calculs!$U$4:$U$1004</definedName>
    <definedName name="Rho">Calculs!$V$4:$V$1004</definedName>
    <definedName name="Rho_moyen">Info!$E$52</definedName>
    <definedName name="S_ail">Controle!$H$64</definedName>
    <definedName name="S_para">Trajecto!$C$27</definedName>
    <definedName name="S_para_croix">Trajecto!$B$47</definedName>
    <definedName name="S_para_rond">Trajecto!$B$55</definedName>
    <definedName name="S_satellite">Trajecto!$D$27</definedName>
    <definedName name="Sref">Trajecto!$C$14</definedName>
    <definedName name="sS">Trajecto!$F$132</definedName>
    <definedName name="t">Calculs!$B$4:$B$1004</definedName>
    <definedName name="T_balistique">Trajecto!$H$28</definedName>
    <definedName name="T_ini">Trajecto!$H$40</definedName>
    <definedName name="T_para">Trajecto!$C$113</definedName>
    <definedName name="T_satellite">Trajecto!$D$26</definedName>
    <definedName name="Temps_culmi">Trajecto!$H$26</definedName>
    <definedName name="Temps_fin_propu">Propu!$X$3</definedName>
    <definedName name="Trainee">Calculs!$W$4:$W$1004</definedName>
    <definedName name="tT_fus">Trajecto!$F$133</definedName>
    <definedName name="tT_sat">Trajecto!$F$150</definedName>
    <definedName name="Type_fusee">Stabilito!$C$10</definedName>
    <definedName name="Type_masquage" localSheetId="5">Stabilito!$C$26</definedName>
    <definedName name="Type_masquage" localSheetId="0">Stabilito!$C$26</definedName>
    <definedName name="Type_propu">Propu!$V$2</definedName>
    <definedName name="V_ini">Trajecto!$K$40</definedName>
    <definedName name="V_ouv_sat">Trajecto!$K$25</definedName>
    <definedName name="V_ouverture">Trajecto!$K$27</definedName>
    <definedName name="V_para">Trajecto!$C$30</definedName>
    <definedName name="V_prop">Abaco!$K$41:$K$67</definedName>
    <definedName name="V_satellite">Trajecto!$D$30</definedName>
    <definedName name="V_vent">Trajecto!$C$29</definedName>
    <definedName name="V_vent_sat">Trajecto!$D$29</definedName>
    <definedName name="Version" localSheetId="0">Stabilito!$Q$36</definedName>
    <definedName name="Version" localSheetId="1">Trajecto!$N$35</definedName>
    <definedName name="Vit_culmi">Trajecto!$K$26</definedName>
    <definedName name="Vit_max">Trajecto!$K$24</definedName>
    <definedName name="vit_x">Calculs!$G$4:$G$1004</definedName>
    <definedName name="vit_xz">Calculs!$I$4:$I$1004</definedName>
    <definedName name="vit_z">Calculs!$H$4:$H$1004</definedName>
    <definedName name="Vsortie_de_rampe">Trajecto!$K$23</definedName>
    <definedName name="X_ail">Stabilito!$C$33</definedName>
    <definedName name="X_can">Stabilito!$D$33</definedName>
    <definedName name="X_culmi">Trajecto!$J$26</definedName>
    <definedName name="X_ini">Trajecto!$J$40</definedName>
    <definedName name="X_int" localSheetId="0">Stabilito!$E$33</definedName>
    <definedName name="X_j">Stabilito!$M$9</definedName>
    <definedName name="X_para">Trajecto!$J$27</definedName>
    <definedName name="X_r">Stabilito!$O$9</definedName>
    <definedName name="X_satellite">Trajecto!$J$25</definedName>
    <definedName name="XcgPlein">Stabilito!$M$15</definedName>
    <definedName name="XcgSans">Stabilito!$P$15</definedName>
    <definedName name="XcgVide">Stabilito!$N$15</definedName>
    <definedName name="XCp" localSheetId="0">Stabilito!$H$31</definedName>
    <definedName name="XCp0">Stabilito!$I$31</definedName>
    <definedName name="XCpa" localSheetId="0">Stabilito!$M$20</definedName>
    <definedName name="XCpai" localSheetId="0">Stabilito!$M$19</definedName>
    <definedName name="XCpai0">Stabilito!$N$19</definedName>
    <definedName name="XCpc" localSheetId="0">Stabilito!$M$21</definedName>
    <definedName name="XCpi" localSheetId="0">Stabilito!$M$22</definedName>
    <definedName name="XCpi0">Stabilito!$N$22</definedName>
    <definedName name="XCpj" localSheetId="0">Stabilito!$M$23</definedName>
    <definedName name="XCpo" localSheetId="0">Stabilito!$M$18</definedName>
    <definedName name="XCpr" localSheetId="0">Stabilito!$M$24</definedName>
    <definedName name="XpropuPlein">Propu!$N$2</definedName>
    <definedName name="XpropuRef">Stabilito!$C$18</definedName>
    <definedName name="XpropuVide">Propu!$P$2</definedName>
    <definedName name="Z_ini">Trajecto!$I$40</definedName>
    <definedName name="_xlnm.Print_Area" localSheetId="5">Abaco!$A$1:$M$35</definedName>
    <definedName name="_xlnm.Print_Area" localSheetId="2">Courbes!$A$1:$K$78</definedName>
    <definedName name="_xlnm.Print_Area" localSheetId="0">Stabilito!$A$1:$Q$37</definedName>
    <definedName name="_xlnm.Print_Area" localSheetId="1">Trajecto!$A$1:$N$35</definedName>
    <definedName name="zZ_fus">Trajecto!$F$134</definedName>
    <definedName name="zZ_sat">Trajecto!$F$151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6" l="1"/>
  <c r="M7" i="6" l="1"/>
  <c r="M8" i="6"/>
  <c r="O7" i="6"/>
  <c r="C33" i="6"/>
  <c r="F27" i="7" s="1"/>
  <c r="M23" i="6"/>
  <c r="C172" i="6"/>
  <c r="I317" i="4"/>
  <c r="I316" i="4"/>
  <c r="I315" i="4"/>
  <c r="I314" i="4"/>
  <c r="I313" i="4"/>
  <c r="I312" i="4"/>
  <c r="I311" i="4"/>
  <c r="I310" i="4"/>
  <c r="I309" i="4"/>
  <c r="I308" i="4"/>
  <c r="I307" i="4"/>
  <c r="L311" i="4"/>
  <c r="D103" i="4"/>
  <c r="E103" i="4"/>
  <c r="F103" i="4"/>
  <c r="G103" i="4"/>
  <c r="F105" i="4" s="1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S98" i="4"/>
  <c r="T98" i="4"/>
  <c r="U98" i="4"/>
  <c r="V98" i="4"/>
  <c r="W98" i="4"/>
  <c r="X98" i="4"/>
  <c r="D98" i="4"/>
  <c r="E98" i="4"/>
  <c r="F98" i="4"/>
  <c r="G98" i="4"/>
  <c r="H98" i="4"/>
  <c r="I98" i="4"/>
  <c r="J98" i="4"/>
  <c r="K98" i="4"/>
  <c r="L98" i="4"/>
  <c r="K100" i="4" s="1"/>
  <c r="M98" i="4"/>
  <c r="N98" i="4"/>
  <c r="O98" i="4"/>
  <c r="O100" i="4" s="1"/>
  <c r="P98" i="4"/>
  <c r="Q98" i="4"/>
  <c r="R98" i="4"/>
  <c r="C103" i="4"/>
  <c r="C98" i="4"/>
  <c r="X104" i="4"/>
  <c r="W104" i="4"/>
  <c r="V104" i="4"/>
  <c r="U104" i="4"/>
  <c r="T105" i="4" s="1"/>
  <c r="T104" i="4"/>
  <c r="S104" i="4"/>
  <c r="R104" i="4"/>
  <c r="Q104" i="4"/>
  <c r="P105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B105" i="4" s="1"/>
  <c r="L102" i="4"/>
  <c r="J102" i="4" s="1"/>
  <c r="H102" i="4"/>
  <c r="B102" i="4"/>
  <c r="X99" i="4"/>
  <c r="W99" i="4"/>
  <c r="V100" i="4" s="1"/>
  <c r="V99" i="4"/>
  <c r="U99" i="4"/>
  <c r="T99" i="4"/>
  <c r="S99" i="4"/>
  <c r="R99" i="4"/>
  <c r="Q99" i="4"/>
  <c r="P99" i="4"/>
  <c r="O99" i="4"/>
  <c r="N99" i="4"/>
  <c r="M100" i="4"/>
  <c r="M99" i="4"/>
  <c r="L99" i="4"/>
  <c r="K99" i="4"/>
  <c r="J99" i="4"/>
  <c r="I99" i="4"/>
  <c r="H99" i="4"/>
  <c r="G99" i="4"/>
  <c r="G100" i="4" s="1"/>
  <c r="F99" i="4"/>
  <c r="E99" i="4"/>
  <c r="D99" i="4"/>
  <c r="C99" i="4"/>
  <c r="B99" i="4"/>
  <c r="L97" i="4"/>
  <c r="H97" i="4"/>
  <c r="B97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J92" i="4"/>
  <c r="B92" i="4"/>
  <c r="O334" i="4"/>
  <c r="O333" i="4"/>
  <c r="O332" i="4"/>
  <c r="O33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J198" i="4"/>
  <c r="B198" i="4"/>
  <c r="E5" i="7"/>
  <c r="H7" i="7"/>
  <c r="E7" i="7"/>
  <c r="E6" i="7"/>
  <c r="H9" i="7"/>
  <c r="K25" i="7"/>
  <c r="K24" i="7"/>
  <c r="J26" i="7"/>
  <c r="J25" i="7"/>
  <c r="J24" i="7"/>
  <c r="J23" i="7"/>
  <c r="G27" i="7"/>
  <c r="G26" i="7"/>
  <c r="F26" i="7"/>
  <c r="G25" i="7"/>
  <c r="F25" i="7"/>
  <c r="G24" i="7"/>
  <c r="F24" i="7"/>
  <c r="G23" i="7"/>
  <c r="F23" i="7"/>
  <c r="D27" i="7"/>
  <c r="D24" i="7"/>
  <c r="B31" i="6"/>
  <c r="B30" i="6"/>
  <c r="B29" i="6"/>
  <c r="B28" i="6"/>
  <c r="B27" i="6"/>
  <c r="B35" i="6"/>
  <c r="B34" i="6"/>
  <c r="B33" i="6"/>
  <c r="B32" i="6"/>
  <c r="U35" i="7"/>
  <c r="U34" i="7"/>
  <c r="U33" i="7"/>
  <c r="U32" i="7"/>
  <c r="U31" i="7"/>
  <c r="U30" i="7"/>
  <c r="P32" i="7"/>
  <c r="P31" i="7"/>
  <c r="Q34" i="7"/>
  <c r="P29" i="7"/>
  <c r="Q17" i="7"/>
  <c r="U16" i="7"/>
  <c r="Q12" i="7"/>
  <c r="U11" i="7"/>
  <c r="Q3" i="7"/>
  <c r="E17" i="7"/>
  <c r="E16" i="7"/>
  <c r="E15" i="7"/>
  <c r="E13" i="7"/>
  <c r="B52" i="1"/>
  <c r="B50" i="1"/>
  <c r="B55" i="1"/>
  <c r="D27" i="1"/>
  <c r="I69" i="7" s="1"/>
  <c r="D24" i="1"/>
  <c r="C18" i="1"/>
  <c r="H8" i="7" s="1"/>
  <c r="C161" i="6"/>
  <c r="C162" i="6"/>
  <c r="C160" i="6"/>
  <c r="C159" i="6"/>
  <c r="C158" i="6"/>
  <c r="C25" i="6"/>
  <c r="M21" i="6"/>
  <c r="H6" i="7"/>
  <c r="F108" i="1"/>
  <c r="C113" i="1" s="1"/>
  <c r="C152" i="1"/>
  <c r="C150" i="1"/>
  <c r="C148" i="1"/>
  <c r="N33" i="1"/>
  <c r="C19" i="6"/>
  <c r="C131" i="1"/>
  <c r="B25" i="1"/>
  <c r="L310" i="4"/>
  <c r="L309" i="4"/>
  <c r="J30" i="6"/>
  <c r="E190" i="6" s="1"/>
  <c r="G30" i="6"/>
  <c r="E184" i="6" s="1"/>
  <c r="J29" i="6"/>
  <c r="B188" i="6" s="1"/>
  <c r="G29" i="6"/>
  <c r="J28" i="6"/>
  <c r="C185" i="6" s="1"/>
  <c r="J27" i="6"/>
  <c r="G28" i="6"/>
  <c r="C183" i="6" s="1"/>
  <c r="G27" i="6"/>
  <c r="W35" i="6"/>
  <c r="B100" i="6"/>
  <c r="L308" i="4"/>
  <c r="L307" i="4"/>
  <c r="B97" i="6"/>
  <c r="B98" i="6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S234" i="4"/>
  <c r="T234" i="4" s="1"/>
  <c r="U234" i="4" s="1"/>
  <c r="J233" i="4"/>
  <c r="B233" i="4"/>
  <c r="O311" i="4"/>
  <c r="O310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V130" i="4"/>
  <c r="U131" i="4" s="1"/>
  <c r="T131" i="4"/>
  <c r="J128" i="4"/>
  <c r="B128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T125" i="4"/>
  <c r="S126" i="4" s="1"/>
  <c r="J123" i="4"/>
  <c r="B123" i="4"/>
  <c r="O330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V250" i="4"/>
  <c r="W250" i="4" s="1"/>
  <c r="V249" i="4"/>
  <c r="W249" i="4" s="1"/>
  <c r="X249" i="4" s="1"/>
  <c r="J248" i="4"/>
  <c r="B248" i="4"/>
  <c r="O327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T230" i="4" s="1"/>
  <c r="U230" i="4" s="1"/>
  <c r="S229" i="4"/>
  <c r="T229" i="4" s="1"/>
  <c r="U229" i="4" s="1"/>
  <c r="V229" i="4" s="1"/>
  <c r="W229" i="4" s="1"/>
  <c r="J228" i="4"/>
  <c r="B228" i="4"/>
  <c r="O33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6" i="4"/>
  <c r="R206" i="4"/>
  <c r="J203" i="4"/>
  <c r="B203" i="4"/>
  <c r="O326" i="4"/>
  <c r="O325" i="4"/>
  <c r="O324" i="4"/>
  <c r="O323" i="4"/>
  <c r="O328" i="4"/>
  <c r="O329" i="4"/>
  <c r="O335" i="4"/>
  <c r="O313" i="4"/>
  <c r="O314" i="4"/>
  <c r="O315" i="4"/>
  <c r="O316" i="4"/>
  <c r="O317" i="4"/>
  <c r="O309" i="4"/>
  <c r="O312" i="4"/>
  <c r="O318" i="4"/>
  <c r="O319" i="4"/>
  <c r="O320" i="4"/>
  <c r="O321" i="4"/>
  <c r="O322" i="4"/>
  <c r="O308" i="4"/>
  <c r="O307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J223" i="4"/>
  <c r="B223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T220" i="4"/>
  <c r="U220" i="4" s="1"/>
  <c r="R221" i="4"/>
  <c r="T219" i="4"/>
  <c r="U219" i="4" s="1"/>
  <c r="V219" i="4" s="1"/>
  <c r="W219" i="4" s="1"/>
  <c r="J218" i="4"/>
  <c r="B218" i="4"/>
  <c r="V244" i="4"/>
  <c r="W244" i="4" s="1"/>
  <c r="W239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J243" i="4"/>
  <c r="B243" i="4"/>
  <c r="J241" i="4"/>
  <c r="I241" i="4"/>
  <c r="H241" i="4"/>
  <c r="G241" i="4"/>
  <c r="F241" i="4"/>
  <c r="E241" i="4"/>
  <c r="D241" i="4"/>
  <c r="C241" i="4"/>
  <c r="B241" i="4"/>
  <c r="J238" i="4"/>
  <c r="B238" i="4"/>
  <c r="L189" i="4"/>
  <c r="M189" i="4" s="1"/>
  <c r="R324" i="4"/>
  <c r="R325" i="4"/>
  <c r="R326" i="4"/>
  <c r="R327" i="4"/>
  <c r="R328" i="4"/>
  <c r="R329" i="4"/>
  <c r="S190" i="4"/>
  <c r="T190" i="4" s="1"/>
  <c r="U190" i="4" s="1"/>
  <c r="J191" i="4"/>
  <c r="I191" i="4"/>
  <c r="H191" i="4"/>
  <c r="G191" i="4"/>
  <c r="F191" i="4"/>
  <c r="E191" i="4"/>
  <c r="D191" i="4"/>
  <c r="C191" i="4"/>
  <c r="B191" i="4"/>
  <c r="J188" i="4"/>
  <c r="B188" i="4"/>
  <c r="S195" i="4"/>
  <c r="T195" i="4" s="1"/>
  <c r="S194" i="4"/>
  <c r="T194" i="4" s="1"/>
  <c r="U194" i="4" s="1"/>
  <c r="V194" i="4" s="1"/>
  <c r="W194" i="4" s="1"/>
  <c r="X194" i="4" s="1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J193" i="4"/>
  <c r="B193" i="4"/>
  <c r="B208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S210" i="4"/>
  <c r="T210" i="4" s="1"/>
  <c r="S209" i="4"/>
  <c r="J208" i="4"/>
  <c r="A2" i="4"/>
  <c r="B133" i="4"/>
  <c r="B4" i="3"/>
  <c r="AD4" i="3" s="1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J133" i="4"/>
  <c r="N4" i="3"/>
  <c r="M4" i="3" s="1"/>
  <c r="G4" i="3" s="1"/>
  <c r="J4" i="3"/>
  <c r="K4" i="3"/>
  <c r="V4" i="3" s="1"/>
  <c r="I4" i="3"/>
  <c r="B113" i="4"/>
  <c r="C35" i="6"/>
  <c r="M18" i="6"/>
  <c r="C184" i="6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U115" i="4"/>
  <c r="T116" i="4" s="1"/>
  <c r="J113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0" i="4"/>
  <c r="S161" i="4" s="1"/>
  <c r="X159" i="4"/>
  <c r="L158" i="4"/>
  <c r="J158" i="4" s="1"/>
  <c r="B47" i="1"/>
  <c r="C27" i="1" s="1"/>
  <c r="D29" i="1"/>
  <c r="B29" i="4"/>
  <c r="C29" i="4"/>
  <c r="D29" i="4"/>
  <c r="E29" i="4"/>
  <c r="F29" i="4"/>
  <c r="G29" i="4"/>
  <c r="H29" i="4"/>
  <c r="D26" i="4" s="1"/>
  <c r="F26" i="4" s="1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J26" i="4"/>
  <c r="B34" i="4"/>
  <c r="C34" i="4"/>
  <c r="D34" i="4"/>
  <c r="E34" i="4"/>
  <c r="F34" i="4"/>
  <c r="G34" i="4"/>
  <c r="H34" i="4"/>
  <c r="D31" i="4" s="1"/>
  <c r="F31" i="4" s="1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J31" i="4"/>
  <c r="B39" i="4"/>
  <c r="C39" i="4"/>
  <c r="D39" i="4"/>
  <c r="E39" i="4"/>
  <c r="F39" i="4"/>
  <c r="G39" i="4"/>
  <c r="H39" i="4"/>
  <c r="D36" i="4" s="1"/>
  <c r="F36" i="4" s="1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J36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J41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J46" i="4"/>
  <c r="B54" i="4"/>
  <c r="C54" i="4"/>
  <c r="D54" i="4"/>
  <c r="E54" i="4"/>
  <c r="F54" i="4"/>
  <c r="G54" i="4"/>
  <c r="D51" i="4" s="1"/>
  <c r="F51" i="4" s="1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J51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J56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J61" i="4"/>
  <c r="B70" i="4"/>
  <c r="C70" i="4"/>
  <c r="D70" i="4"/>
  <c r="E70" i="4"/>
  <c r="F70" i="4"/>
  <c r="G70" i="4"/>
  <c r="H70" i="4"/>
  <c r="D67" i="4" s="1"/>
  <c r="F67" i="4" s="1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J67" i="4"/>
  <c r="B75" i="4"/>
  <c r="C75" i="4"/>
  <c r="D75" i="4"/>
  <c r="E75" i="4"/>
  <c r="F75" i="4"/>
  <c r="G75" i="4"/>
  <c r="H75" i="4"/>
  <c r="D72" i="4" s="1"/>
  <c r="F72" i="4" s="1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J72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J77" i="4"/>
  <c r="C84" i="4"/>
  <c r="B84" i="4"/>
  <c r="D84" i="4"/>
  <c r="C85" i="4" s="1"/>
  <c r="E84" i="4"/>
  <c r="F84" i="4"/>
  <c r="G84" i="4"/>
  <c r="H84" i="4"/>
  <c r="G85" i="4" s="1"/>
  <c r="I84" i="4"/>
  <c r="I85" i="4" s="1"/>
  <c r="J84" i="4"/>
  <c r="K84" i="4"/>
  <c r="L84" i="4"/>
  <c r="M84" i="4"/>
  <c r="N84" i="4"/>
  <c r="O84" i="4"/>
  <c r="P84" i="4"/>
  <c r="P85" i="4" s="1"/>
  <c r="Q84" i="4"/>
  <c r="Q85" i="4" s="1"/>
  <c r="R84" i="4"/>
  <c r="S84" i="4"/>
  <c r="T84" i="4"/>
  <c r="U84" i="4"/>
  <c r="V84" i="4"/>
  <c r="W84" i="4"/>
  <c r="V85" i="4" s="1"/>
  <c r="X84" i="4"/>
  <c r="X85" i="4" s="1"/>
  <c r="H82" i="4"/>
  <c r="J82" i="4" s="1"/>
  <c r="L82" i="4"/>
  <c r="C89" i="4"/>
  <c r="B89" i="4"/>
  <c r="D89" i="4"/>
  <c r="E89" i="4"/>
  <c r="F89" i="4"/>
  <c r="G89" i="4"/>
  <c r="G90" i="4" s="1"/>
  <c r="H89" i="4"/>
  <c r="I89" i="4"/>
  <c r="J89" i="4"/>
  <c r="K89" i="4"/>
  <c r="L89" i="4"/>
  <c r="M89" i="4"/>
  <c r="N89" i="4"/>
  <c r="O89" i="4"/>
  <c r="O90" i="4" s="1"/>
  <c r="P89" i="4"/>
  <c r="Q89" i="4"/>
  <c r="R89" i="4"/>
  <c r="S89" i="4"/>
  <c r="T89" i="4"/>
  <c r="U89" i="4"/>
  <c r="V89" i="4"/>
  <c r="W89" i="4"/>
  <c r="V90" i="4" s="1"/>
  <c r="X89" i="4"/>
  <c r="H87" i="4"/>
  <c r="J87" i="4" s="1"/>
  <c r="L87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T110" i="4"/>
  <c r="S111" i="4" s="1"/>
  <c r="J108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T120" i="4"/>
  <c r="S121" i="4" s="1"/>
  <c r="J118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J138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J143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J148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J153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J163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J168" i="4"/>
  <c r="B176" i="4"/>
  <c r="C176" i="4"/>
  <c r="D176" i="4"/>
  <c r="E176" i="4"/>
  <c r="F176" i="4"/>
  <c r="D173" i="4" s="1"/>
  <c r="F173" i="4" s="1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J173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J178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T185" i="4"/>
  <c r="U185" i="4" s="1"/>
  <c r="X184" i="4"/>
  <c r="L183" i="4"/>
  <c r="J183" i="4" s="1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J213" i="4"/>
  <c r="B256" i="4"/>
  <c r="D253" i="4" s="1"/>
  <c r="F253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J253" i="4"/>
  <c r="B261" i="4"/>
  <c r="C261" i="4"/>
  <c r="D258" i="4" s="1"/>
  <c r="F258" i="4" s="1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J258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J264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J269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J274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J279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J284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J289" i="4"/>
  <c r="B297" i="4"/>
  <c r="D294" i="4" s="1"/>
  <c r="F294" i="4" s="1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J294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J299" i="4"/>
  <c r="A306" i="4"/>
  <c r="B26" i="4"/>
  <c r="N26" i="4"/>
  <c r="B31" i="4"/>
  <c r="N31" i="4"/>
  <c r="B36" i="4"/>
  <c r="N36" i="4"/>
  <c r="B41" i="4"/>
  <c r="N41" i="4"/>
  <c r="B46" i="4"/>
  <c r="N46" i="4"/>
  <c r="B51" i="4"/>
  <c r="N51" i="4"/>
  <c r="B56" i="4"/>
  <c r="N56" i="4"/>
  <c r="B61" i="4"/>
  <c r="N61" i="4"/>
  <c r="B67" i="4"/>
  <c r="B72" i="4"/>
  <c r="B77" i="4"/>
  <c r="B82" i="4"/>
  <c r="B87" i="4"/>
  <c r="B108" i="4"/>
  <c r="B118" i="4"/>
  <c r="B138" i="4"/>
  <c r="B143" i="4"/>
  <c r="B148" i="4"/>
  <c r="B153" i="4"/>
  <c r="B158" i="4"/>
  <c r="B163" i="4"/>
  <c r="B168" i="4"/>
  <c r="B173" i="4"/>
  <c r="B178" i="4"/>
  <c r="B183" i="4"/>
  <c r="B213" i="4"/>
  <c r="B253" i="4"/>
  <c r="B258" i="4"/>
  <c r="B264" i="4"/>
  <c r="B269" i="4"/>
  <c r="B274" i="4"/>
  <c r="B279" i="4"/>
  <c r="B284" i="4"/>
  <c r="B289" i="4"/>
  <c r="B294" i="4"/>
  <c r="B299" i="4"/>
  <c r="E116" i="7"/>
  <c r="F94" i="7"/>
  <c r="F85" i="7"/>
  <c r="H118" i="7"/>
  <c r="H111" i="7"/>
  <c r="E102" i="7"/>
  <c r="E103" i="7"/>
  <c r="E104" i="7"/>
  <c r="E100" i="7"/>
  <c r="H105" i="7"/>
  <c r="J105" i="7"/>
  <c r="J101" i="7"/>
  <c r="J97" i="7"/>
  <c r="F97" i="7"/>
  <c r="J88" i="7"/>
  <c r="J84" i="7"/>
  <c r="F90" i="7"/>
  <c r="F82" i="7"/>
  <c r="D85" i="7"/>
  <c r="D83" i="7"/>
  <c r="D81" i="7"/>
  <c r="D80" i="7"/>
  <c r="B19" i="6"/>
  <c r="F311" i="4"/>
  <c r="F310" i="4"/>
  <c r="C21" i="5"/>
  <c r="C20" i="5"/>
  <c r="C26" i="5"/>
  <c r="C22" i="5"/>
  <c r="C17" i="5"/>
  <c r="C19" i="5"/>
  <c r="C16" i="5"/>
  <c r="C15" i="5"/>
  <c r="L2" i="6"/>
  <c r="C307" i="4"/>
  <c r="F307" i="4"/>
  <c r="R307" i="4"/>
  <c r="C308" i="4"/>
  <c r="F308" i="4"/>
  <c r="R308" i="4"/>
  <c r="C309" i="4"/>
  <c r="F309" i="4"/>
  <c r="C310" i="4"/>
  <c r="C311" i="4"/>
  <c r="C312" i="4"/>
  <c r="C313" i="4"/>
  <c r="C314" i="4"/>
  <c r="B146" i="2"/>
  <c r="B35" i="1"/>
  <c r="B36" i="6"/>
  <c r="B15" i="8"/>
  <c r="B76" i="2"/>
  <c r="B11" i="8"/>
  <c r="B107" i="1"/>
  <c r="F42" i="5"/>
  <c r="B71" i="8"/>
  <c r="B78" i="8"/>
  <c r="B79" i="8" s="1"/>
  <c r="C5" i="8"/>
  <c r="B76" i="8"/>
  <c r="B77" i="8" s="1"/>
  <c r="B74" i="8"/>
  <c r="B73" i="8"/>
  <c r="B10" i="8"/>
  <c r="C4" i="8"/>
  <c r="C16" i="8"/>
  <c r="C14" i="8"/>
  <c r="C12" i="8"/>
  <c r="B12" i="8"/>
  <c r="C9" i="8"/>
  <c r="C8" i="8"/>
  <c r="B8" i="8"/>
  <c r="C7" i="8"/>
  <c r="N36" i="6"/>
  <c r="C50" i="5"/>
  <c r="C52" i="5"/>
  <c r="T18" i="6"/>
  <c r="S17" i="6"/>
  <c r="S19" i="6"/>
  <c r="S18" i="6"/>
  <c r="S13" i="6"/>
  <c r="S14" i="6"/>
  <c r="S12" i="6"/>
  <c r="T16" i="6"/>
  <c r="T11" i="6"/>
  <c r="L38" i="6"/>
  <c r="B93" i="1"/>
  <c r="B79" i="2"/>
  <c r="H64" i="7"/>
  <c r="H63" i="7" s="1"/>
  <c r="E59" i="7"/>
  <c r="E55" i="7"/>
  <c r="H52" i="7"/>
  <c r="E45" i="7"/>
  <c r="D45" i="7"/>
  <c r="E44" i="7"/>
  <c r="D44" i="7"/>
  <c r="E46" i="7"/>
  <c r="D46" i="7"/>
  <c r="E43" i="7"/>
  <c r="D43" i="7"/>
  <c r="E41" i="7"/>
  <c r="E50" i="7"/>
  <c r="E48" i="7"/>
  <c r="E47" i="7"/>
  <c r="H50" i="7"/>
  <c r="E51" i="7"/>
  <c r="C31" i="7"/>
  <c r="C5" i="5"/>
  <c r="C6" i="5"/>
  <c r="C7" i="5"/>
  <c r="C8" i="5"/>
  <c r="C10" i="5"/>
  <c r="C11" i="5"/>
  <c r="C12" i="5"/>
  <c r="C13" i="5"/>
  <c r="C23" i="5"/>
  <c r="C25" i="5"/>
  <c r="C28" i="5"/>
  <c r="C33" i="5"/>
  <c r="F34" i="5"/>
  <c r="F35" i="5"/>
  <c r="F36" i="5"/>
  <c r="F37" i="5"/>
  <c r="F38" i="5"/>
  <c r="F39" i="5"/>
  <c r="F40" i="5"/>
  <c r="C51" i="5"/>
  <c r="A1" i="4"/>
  <c r="A3" i="4"/>
  <c r="A4" i="4"/>
  <c r="B77" i="2"/>
  <c r="B78" i="2"/>
  <c r="B131" i="2"/>
  <c r="B133" i="2"/>
  <c r="B134" i="2"/>
  <c r="B135" i="2"/>
  <c r="B137" i="2"/>
  <c r="B138" i="2"/>
  <c r="B140" i="2"/>
  <c r="B141" i="2"/>
  <c r="B144" i="2"/>
  <c r="C4" i="1"/>
  <c r="C6" i="1"/>
  <c r="C7" i="1"/>
  <c r="C23" i="1" s="1"/>
  <c r="B8" i="1"/>
  <c r="C8" i="1"/>
  <c r="C9" i="1"/>
  <c r="B10" i="1"/>
  <c r="B11" i="1"/>
  <c r="C11" i="1"/>
  <c r="C13" i="1"/>
  <c r="C17" i="1"/>
  <c r="B18" i="1"/>
  <c r="B19" i="1"/>
  <c r="C22" i="1"/>
  <c r="G22" i="1"/>
  <c r="H22" i="1"/>
  <c r="J22" i="1"/>
  <c r="K22" i="1"/>
  <c r="F23" i="1"/>
  <c r="B24" i="1"/>
  <c r="F24" i="1"/>
  <c r="B26" i="1"/>
  <c r="F25" i="1"/>
  <c r="H25" i="1"/>
  <c r="F27" i="1"/>
  <c r="B29" i="1"/>
  <c r="F28" i="1"/>
  <c r="B30" i="1"/>
  <c r="B31" i="1"/>
  <c r="H31" i="1"/>
  <c r="B32" i="1"/>
  <c r="F32" i="1"/>
  <c r="B33" i="1"/>
  <c r="F33" i="1"/>
  <c r="F34" i="1"/>
  <c r="A38" i="1"/>
  <c r="F38" i="1"/>
  <c r="H38" i="1"/>
  <c r="J38" i="1"/>
  <c r="K38" i="1"/>
  <c r="F40" i="1"/>
  <c r="M40" i="1"/>
  <c r="F41" i="1"/>
  <c r="B42" i="1"/>
  <c r="F42" i="1"/>
  <c r="F43" i="1"/>
  <c r="B44" i="1"/>
  <c r="F45" i="1"/>
  <c r="F46" i="1"/>
  <c r="F47" i="1"/>
  <c r="L47" i="1"/>
  <c r="F48" i="1"/>
  <c r="H48" i="1"/>
  <c r="F49" i="1"/>
  <c r="I49" i="1"/>
  <c r="L49" i="1"/>
  <c r="M49" i="1"/>
  <c r="B102" i="1"/>
  <c r="B109" i="1"/>
  <c r="B110" i="1"/>
  <c r="B111" i="1"/>
  <c r="B112" i="1"/>
  <c r="B113" i="1"/>
  <c r="B117" i="1"/>
  <c r="C140" i="1"/>
  <c r="C142" i="1"/>
  <c r="C144" i="1"/>
  <c r="B148" i="1"/>
  <c r="B149" i="1" s="1"/>
  <c r="C4" i="6"/>
  <c r="C6" i="6"/>
  <c r="L6" i="6"/>
  <c r="C7" i="6"/>
  <c r="L7" i="6"/>
  <c r="B8" i="6"/>
  <c r="L8" i="6"/>
  <c r="L9" i="6"/>
  <c r="B11" i="6"/>
  <c r="M11" i="6"/>
  <c r="N11" i="6"/>
  <c r="P11" i="6"/>
  <c r="B12" i="6"/>
  <c r="L12" i="6"/>
  <c r="B13" i="6"/>
  <c r="L13" i="6"/>
  <c r="B14" i="6"/>
  <c r="L14" i="6"/>
  <c r="L15" i="6"/>
  <c r="C16" i="6"/>
  <c r="B18" i="6"/>
  <c r="L18" i="6"/>
  <c r="L19" i="6"/>
  <c r="C20" i="6"/>
  <c r="L20" i="6"/>
  <c r="B21" i="6"/>
  <c r="L21" i="6"/>
  <c r="B22" i="6"/>
  <c r="L22" i="6"/>
  <c r="B23" i="6"/>
  <c r="D25" i="6"/>
  <c r="F26" i="6"/>
  <c r="H26" i="6"/>
  <c r="E27" i="6"/>
  <c r="F28" i="6"/>
  <c r="F29" i="6"/>
  <c r="F30" i="6"/>
  <c r="E31" i="6"/>
  <c r="E32" i="6"/>
  <c r="D35" i="6"/>
  <c r="B91" i="6"/>
  <c r="B96" i="6"/>
  <c r="B103" i="6"/>
  <c r="B104" i="6"/>
  <c r="B105" i="6"/>
  <c r="B107" i="6"/>
  <c r="B108" i="6"/>
  <c r="B109" i="6"/>
  <c r="B114" i="6"/>
  <c r="B115" i="6"/>
  <c r="B117" i="6"/>
  <c r="B118" i="6"/>
  <c r="B119" i="6"/>
  <c r="B121" i="6"/>
  <c r="C124" i="6"/>
  <c r="E124" i="6"/>
  <c r="C125" i="6"/>
  <c r="C126" i="6" s="1"/>
  <c r="C127" i="6" s="1"/>
  <c r="D125" i="6"/>
  <c r="E125" i="6" s="1"/>
  <c r="C130" i="6"/>
  <c r="C131" i="6"/>
  <c r="E131" i="6"/>
  <c r="B137" i="6"/>
  <c r="B140" i="6"/>
  <c r="B143" i="6"/>
  <c r="B146" i="6"/>
  <c r="B155" i="6"/>
  <c r="E175" i="6"/>
  <c r="C176" i="6"/>
  <c r="F176" i="6"/>
  <c r="G176" i="6"/>
  <c r="H176" i="6"/>
  <c r="C177" i="6"/>
  <c r="F177" i="6"/>
  <c r="G177" i="6"/>
  <c r="H177" i="6"/>
  <c r="C178" i="6"/>
  <c r="F178" i="6"/>
  <c r="G178" i="6"/>
  <c r="H178" i="6"/>
  <c r="C179" i="6"/>
  <c r="F179" i="6"/>
  <c r="G179" i="6"/>
  <c r="H179" i="6"/>
  <c r="C180" i="6"/>
  <c r="D180" i="6"/>
  <c r="E180" i="6" s="1"/>
  <c r="F180" i="6"/>
  <c r="G180" i="6"/>
  <c r="H180" i="6"/>
  <c r="U120" i="4"/>
  <c r="V120" i="4" s="1"/>
  <c r="W120" i="4" s="1"/>
  <c r="X120" i="4" s="1"/>
  <c r="U110" i="4"/>
  <c r="V110" i="4" s="1"/>
  <c r="U85" i="4"/>
  <c r="S85" i="4"/>
  <c r="M85" i="4"/>
  <c r="K85" i="4"/>
  <c r="R211" i="4"/>
  <c r="D223" i="4"/>
  <c r="F223" i="4" s="1"/>
  <c r="V115" i="4"/>
  <c r="U116" i="4" s="1"/>
  <c r="U90" i="4"/>
  <c r="S90" i="4"/>
  <c r="M90" i="4"/>
  <c r="K90" i="4"/>
  <c r="E90" i="4"/>
  <c r="T209" i="4"/>
  <c r="U209" i="4" s="1"/>
  <c r="V209" i="4"/>
  <c r="W209" i="4"/>
  <c r="D213" i="4"/>
  <c r="F213" i="4" s="1"/>
  <c r="E85" i="4"/>
  <c r="N85" i="4"/>
  <c r="J85" i="4"/>
  <c r="F85" i="4"/>
  <c r="B85" i="4"/>
  <c r="X90" i="4"/>
  <c r="T90" i="4"/>
  <c r="R90" i="4"/>
  <c r="P90" i="4"/>
  <c r="L90" i="4"/>
  <c r="J90" i="4"/>
  <c r="D77" i="4"/>
  <c r="F77" i="4" s="1"/>
  <c r="D56" i="4"/>
  <c r="F56" i="4" s="1"/>
  <c r="D46" i="4"/>
  <c r="F46" i="4" s="1"/>
  <c r="D41" i="4"/>
  <c r="F41" i="4" s="1"/>
  <c r="U160" i="4"/>
  <c r="T161" i="4" s="1"/>
  <c r="R196" i="4"/>
  <c r="K191" i="4"/>
  <c r="T206" i="4"/>
  <c r="B189" i="6"/>
  <c r="S221" i="4"/>
  <c r="N189" i="4"/>
  <c r="O189" i="4" s="1"/>
  <c r="L191" i="4"/>
  <c r="S246" i="4"/>
  <c r="L241" i="4"/>
  <c r="K241" i="4"/>
  <c r="R246" i="4"/>
  <c r="W115" i="4"/>
  <c r="V116" i="4" s="1"/>
  <c r="U206" i="4"/>
  <c r="M241" i="4"/>
  <c r="V245" i="4"/>
  <c r="W245" i="4" s="1"/>
  <c r="T246" i="4"/>
  <c r="V206" i="4"/>
  <c r="N241" i="4"/>
  <c r="X240" i="4"/>
  <c r="W206" i="4"/>
  <c r="X206" i="4"/>
  <c r="O241" i="4"/>
  <c r="P241" i="4"/>
  <c r="Q241" i="4"/>
  <c r="R241" i="4"/>
  <c r="S241" i="4"/>
  <c r="T241" i="4"/>
  <c r="U241" i="4"/>
  <c r="X239" i="4"/>
  <c r="V241" i="4"/>
  <c r="C197" i="6"/>
  <c r="B197" i="6" s="1"/>
  <c r="W130" i="4"/>
  <c r="U125" i="4"/>
  <c r="V125" i="4" s="1"/>
  <c r="W125" i="4" s="1"/>
  <c r="V126" i="4" s="1"/>
  <c r="V131" i="4"/>
  <c r="X130" i="4"/>
  <c r="X131" i="4" s="1"/>
  <c r="C198" i="6"/>
  <c r="B75" i="8"/>
  <c r="P14" i="6"/>
  <c r="H41" i="7" s="1"/>
  <c r="P15" i="6"/>
  <c r="E108" i="7" s="1"/>
  <c r="E29" i="1"/>
  <c r="I71" i="7"/>
  <c r="B2" i="4"/>
  <c r="S186" i="4"/>
  <c r="B186" i="6"/>
  <c r="L4" i="3"/>
  <c r="B202" i="6"/>
  <c r="S201" i="4"/>
  <c r="R201" i="4"/>
  <c r="W110" i="4"/>
  <c r="U111" i="4"/>
  <c r="V220" i="4"/>
  <c r="W220" i="4" s="1"/>
  <c r="T221" i="4"/>
  <c r="V234" i="4"/>
  <c r="W234" i="4" s="1"/>
  <c r="X234" i="4" s="1"/>
  <c r="V185" i="4"/>
  <c r="W185" i="4" s="1"/>
  <c r="X185" i="4" s="1"/>
  <c r="W186" i="4" s="1"/>
  <c r="T186" i="4"/>
  <c r="V190" i="4"/>
  <c r="S231" i="4"/>
  <c r="N191" i="4"/>
  <c r="P189" i="4"/>
  <c r="Q189" i="4" s="1"/>
  <c r="U210" i="4"/>
  <c r="T211" i="4" s="1"/>
  <c r="S211" i="4"/>
  <c r="M191" i="4"/>
  <c r="T111" i="4"/>
  <c r="T201" i="4"/>
  <c r="V210" i="4"/>
  <c r="U211" i="4" s="1"/>
  <c r="U221" i="4"/>
  <c r="X125" i="4"/>
  <c r="W126" i="4" s="1"/>
  <c r="T231" i="4"/>
  <c r="V230" i="4"/>
  <c r="U201" i="4"/>
  <c r="X200" i="4"/>
  <c r="X201" i="4" s="1"/>
  <c r="V201" i="4"/>
  <c r="W201" i="4"/>
  <c r="X100" i="4"/>
  <c r="L105" i="4"/>
  <c r="C105" i="4"/>
  <c r="G105" i="4"/>
  <c r="K105" i="4"/>
  <c r="O105" i="4"/>
  <c r="S100" i="4"/>
  <c r="U100" i="4"/>
  <c r="D92" i="4"/>
  <c r="F92" i="4"/>
  <c r="H100" i="4"/>
  <c r="Q100" i="4"/>
  <c r="Q105" i="4"/>
  <c r="B143" i="1"/>
  <c r="B142" i="1"/>
  <c r="B146" i="1"/>
  <c r="B144" i="1"/>
  <c r="B141" i="1"/>
  <c r="B145" i="1"/>
  <c r="B140" i="1"/>
  <c r="C146" i="1"/>
  <c r="C147" i="1" s="1"/>
  <c r="C141" i="1"/>
  <c r="C143" i="1"/>
  <c r="C139" i="1"/>
  <c r="C138" i="1"/>
  <c r="B154" i="1"/>
  <c r="B150" i="1"/>
  <c r="B152" i="1"/>
  <c r="C149" i="1"/>
  <c r="B153" i="1"/>
  <c r="C151" i="1"/>
  <c r="B151" i="1"/>
  <c r="P2" i="4"/>
  <c r="N3" i="4"/>
  <c r="C3" i="4"/>
  <c r="R3" i="4"/>
  <c r="Q4" i="4"/>
  <c r="W4" i="4"/>
  <c r="G4" i="4"/>
  <c r="M4" i="4"/>
  <c r="Y3" i="4"/>
  <c r="S3" i="4"/>
  <c r="O4" i="4"/>
  <c r="X3" i="4"/>
  <c r="J4" i="4"/>
  <c r="S4" i="4"/>
  <c r="L2" i="4"/>
  <c r="U4" i="4"/>
  <c r="H3" i="4"/>
  <c r="T3" i="4"/>
  <c r="Y4" i="4"/>
  <c r="G3" i="4"/>
  <c r="H4" i="4"/>
  <c r="E3" i="4"/>
  <c r="P3" i="4"/>
  <c r="N2" i="4"/>
  <c r="W3" i="4"/>
  <c r="J2" i="4"/>
  <c r="X4" i="4"/>
  <c r="O3" i="4"/>
  <c r="E4" i="4"/>
  <c r="F3" i="4"/>
  <c r="P4" i="4"/>
  <c r="B4" i="4"/>
  <c r="F4" i="4"/>
  <c r="L4" i="4"/>
  <c r="B3" i="4"/>
  <c r="I3" i="4"/>
  <c r="C4" i="4"/>
  <c r="U3" i="4"/>
  <c r="K4" i="4"/>
  <c r="Q3" i="4"/>
  <c r="V3" i="4"/>
  <c r="T2" i="4"/>
  <c r="N4" i="4"/>
  <c r="V2" i="4"/>
  <c r="D3" i="4"/>
  <c r="X2" i="4"/>
  <c r="H4" i="3" l="1"/>
  <c r="B108" i="1"/>
  <c r="H17" i="7"/>
  <c r="B131" i="1"/>
  <c r="B106" i="1"/>
  <c r="H27" i="1"/>
  <c r="AE4" i="3"/>
  <c r="U195" i="4"/>
  <c r="T196" i="4" s="1"/>
  <c r="S196" i="4"/>
  <c r="X250" i="4"/>
  <c r="W251" i="4" s="1"/>
  <c r="V251" i="4"/>
  <c r="D128" i="4"/>
  <c r="D299" i="4"/>
  <c r="F299" i="4" s="1"/>
  <c r="D274" i="4"/>
  <c r="F274" i="4" s="1"/>
  <c r="E100" i="4"/>
  <c r="R100" i="4"/>
  <c r="H105" i="4"/>
  <c r="D102" i="4" s="1"/>
  <c r="F102" i="4" s="1"/>
  <c r="V105" i="4"/>
  <c r="D289" i="4"/>
  <c r="F289" i="4" s="1"/>
  <c r="D284" i="4"/>
  <c r="F284" i="4" s="1"/>
  <c r="D279" i="4"/>
  <c r="F279" i="4" s="1"/>
  <c r="D269" i="4"/>
  <c r="F269" i="4" s="1"/>
  <c r="D264" i="4"/>
  <c r="F264" i="4" s="1"/>
  <c r="D163" i="4"/>
  <c r="F163" i="4" s="1"/>
  <c r="D138" i="4"/>
  <c r="F138" i="4" s="1"/>
  <c r="O191" i="4"/>
  <c r="H85" i="4"/>
  <c r="O85" i="4"/>
  <c r="R231" i="4"/>
  <c r="J97" i="4"/>
  <c r="T100" i="4"/>
  <c r="I105" i="4"/>
  <c r="W105" i="4"/>
  <c r="X105" i="4"/>
  <c r="X115" i="4"/>
  <c r="I100" i="4"/>
  <c r="N100" i="4"/>
  <c r="D105" i="4"/>
  <c r="J105" i="4"/>
  <c r="R105" i="4"/>
  <c r="W210" i="4"/>
  <c r="V211" i="4" s="1"/>
  <c r="D61" i="4"/>
  <c r="F61" i="4" s="1"/>
  <c r="W131" i="4"/>
  <c r="D198" i="4"/>
  <c r="F198" i="4" s="1"/>
  <c r="W85" i="4"/>
  <c r="D148" i="4"/>
  <c r="F148" i="4" s="1"/>
  <c r="B90" i="4"/>
  <c r="R85" i="4"/>
  <c r="D133" i="4"/>
  <c r="F133" i="4" s="1"/>
  <c r="C100" i="4"/>
  <c r="J100" i="4"/>
  <c r="P100" i="4"/>
  <c r="E105" i="4"/>
  <c r="M105" i="4"/>
  <c r="S105" i="4"/>
  <c r="X241" i="4"/>
  <c r="D203" i="4"/>
  <c r="F203" i="4" s="1"/>
  <c r="H90" i="4"/>
  <c r="U251" i="4"/>
  <c r="D248" i="4" s="1"/>
  <c r="A307" i="4" a="1"/>
  <c r="A329" i="4" s="1"/>
  <c r="U121" i="4"/>
  <c r="V186" i="4"/>
  <c r="U186" i="4"/>
  <c r="V160" i="4"/>
  <c r="T121" i="4"/>
  <c r="D100" i="4"/>
  <c r="L100" i="4"/>
  <c r="N105" i="4"/>
  <c r="U105" i="4"/>
  <c r="C196" i="6"/>
  <c r="A335" i="4"/>
  <c r="A323" i="4"/>
  <c r="A316" i="4"/>
  <c r="A321" i="4"/>
  <c r="A327" i="4"/>
  <c r="E183" i="6"/>
  <c r="A319" i="4"/>
  <c r="A310" i="4"/>
  <c r="E192" i="6"/>
  <c r="A320" i="4"/>
  <c r="A308" i="4"/>
  <c r="A313" i="4"/>
  <c r="A331" i="4"/>
  <c r="A307" i="4"/>
  <c r="C182" i="6"/>
  <c r="E193" i="6"/>
  <c r="B201" i="6"/>
  <c r="C201" i="6" s="1"/>
  <c r="A333" i="4"/>
  <c r="A330" i="4"/>
  <c r="A309" i="4"/>
  <c r="E188" i="6"/>
  <c r="E191" i="6"/>
  <c r="A315" i="4"/>
  <c r="C195" i="6"/>
  <c r="E189" i="6"/>
  <c r="D30" i="1"/>
  <c r="E24" i="1"/>
  <c r="H67" i="7"/>
  <c r="B157" i="1"/>
  <c r="E8" i="7"/>
  <c r="H69" i="7"/>
  <c r="E127" i="7"/>
  <c r="D25" i="7"/>
  <c r="C173" i="6"/>
  <c r="T14" i="6"/>
  <c r="O24" i="6"/>
  <c r="O23" i="6"/>
  <c r="D179" i="6"/>
  <c r="E179" i="6" s="1"/>
  <c r="T17" i="6"/>
  <c r="C144" i="6"/>
  <c r="C147" i="6"/>
  <c r="C143" i="6"/>
  <c r="C141" i="6"/>
  <c r="E33" i="6"/>
  <c r="C138" i="6"/>
  <c r="C132" i="6"/>
  <c r="C133" i="6"/>
  <c r="C136" i="6"/>
  <c r="C137" i="6"/>
  <c r="C134" i="6"/>
  <c r="C145" i="6"/>
  <c r="C139" i="6"/>
  <c r="C135" i="6"/>
  <c r="T19" i="6"/>
  <c r="C148" i="6"/>
  <c r="M20" i="6"/>
  <c r="C142" i="6"/>
  <c r="C146" i="6"/>
  <c r="C140" i="6"/>
  <c r="E42" i="7"/>
  <c r="J90" i="7"/>
  <c r="F118" i="7" s="1"/>
  <c r="D177" i="6"/>
  <c r="E177" i="6" s="1"/>
  <c r="D178" i="6"/>
  <c r="E178" i="6" s="1"/>
  <c r="D176" i="6"/>
  <c r="E176" i="6" s="1"/>
  <c r="B67" i="8"/>
  <c r="C67" i="8" s="1"/>
  <c r="B56" i="8"/>
  <c r="C56" i="8" s="1"/>
  <c r="B58" i="8"/>
  <c r="C58" i="8" s="1"/>
  <c r="B60" i="8"/>
  <c r="C60" i="8" s="1"/>
  <c r="O21" i="6"/>
  <c r="B66" i="8"/>
  <c r="C66" i="8" s="1"/>
  <c r="B63" i="8"/>
  <c r="C63" i="8" s="1"/>
  <c r="B59" i="8"/>
  <c r="C59" i="8" s="1"/>
  <c r="B65" i="8"/>
  <c r="C65" i="8" s="1"/>
  <c r="B64" i="8"/>
  <c r="C64" i="8" s="1"/>
  <c r="C15" i="8"/>
  <c r="B57" i="8"/>
  <c r="C57" i="8" s="1"/>
  <c r="C14" i="1"/>
  <c r="B61" i="8"/>
  <c r="C61" i="8" s="1"/>
  <c r="O18" i="6"/>
  <c r="B52" i="8"/>
  <c r="C52" i="8" s="1"/>
  <c r="D26" i="7"/>
  <c r="E40" i="7"/>
  <c r="B54" i="8"/>
  <c r="C54" i="8" s="1"/>
  <c r="B62" i="8"/>
  <c r="C62" i="8" s="1"/>
  <c r="B55" i="8"/>
  <c r="C55" i="8" s="1"/>
  <c r="B51" i="8"/>
  <c r="C51" i="8" s="1"/>
  <c r="B53" i="8"/>
  <c r="C53" i="8" s="1"/>
  <c r="H27" i="6"/>
  <c r="H12" i="7" s="1"/>
  <c r="B50" i="8"/>
  <c r="C50" i="8" s="1"/>
  <c r="D126" i="6"/>
  <c r="E107" i="7"/>
  <c r="E11" i="7"/>
  <c r="E182" i="6"/>
  <c r="E186" i="6"/>
  <c r="B196" i="6"/>
  <c r="E185" i="6"/>
  <c r="E14" i="7"/>
  <c r="B199" i="6"/>
  <c r="B200" i="6"/>
  <c r="C200" i="6" s="1"/>
  <c r="C210" i="6"/>
  <c r="C207" i="6"/>
  <c r="C208" i="6"/>
  <c r="C205" i="6"/>
  <c r="C209" i="6"/>
  <c r="C206" i="6"/>
  <c r="B48" i="8"/>
  <c r="C48" i="8" s="1"/>
  <c r="B46" i="8"/>
  <c r="C46" i="8" s="1"/>
  <c r="B49" i="8"/>
  <c r="C49" i="8" s="1"/>
  <c r="D174" i="6"/>
  <c r="B45" i="8"/>
  <c r="C45" i="8" s="1"/>
  <c r="B42" i="8"/>
  <c r="C42" i="8" s="1"/>
  <c r="B41" i="8"/>
  <c r="C41" i="8" s="1"/>
  <c r="B43" i="8"/>
  <c r="C43" i="8" s="1"/>
  <c r="D172" i="6"/>
  <c r="B44" i="8"/>
  <c r="C44" i="8" s="1"/>
  <c r="B47" i="8"/>
  <c r="C47" i="8" s="1"/>
  <c r="D170" i="6"/>
  <c r="D171" i="6"/>
  <c r="D173" i="6"/>
  <c r="N13" i="6"/>
  <c r="A5" i="3"/>
  <c r="B5" i="3" s="1"/>
  <c r="M13" i="6"/>
  <c r="N14" i="6"/>
  <c r="N12" i="6"/>
  <c r="R189" i="4"/>
  <c r="P191" i="4"/>
  <c r="X186" i="4"/>
  <c r="D183" i="4" s="1"/>
  <c r="F183" i="4" s="1"/>
  <c r="W190" i="4"/>
  <c r="V246" i="4"/>
  <c r="X245" i="4"/>
  <c r="W230" i="4"/>
  <c r="U231" i="4"/>
  <c r="X220" i="4"/>
  <c r="V221" i="4"/>
  <c r="X126" i="4"/>
  <c r="X110" i="4"/>
  <c r="V111" i="4"/>
  <c r="U126" i="4"/>
  <c r="V121" i="4"/>
  <c r="X210" i="4"/>
  <c r="W121" i="4"/>
  <c r="X121" i="4"/>
  <c r="V195" i="4"/>
  <c r="H5" i="7"/>
  <c r="T126" i="4"/>
  <c r="W241" i="4"/>
  <c r="D238" i="4" s="1"/>
  <c r="F238" i="4" s="1"/>
  <c r="N90" i="4"/>
  <c r="AC4" i="3"/>
  <c r="U246" i="4"/>
  <c r="W90" i="4"/>
  <c r="X251" i="4"/>
  <c r="T235" i="4"/>
  <c r="R236" i="4"/>
  <c r="C10" i="8"/>
  <c r="F90" i="4"/>
  <c r="C90" i="4"/>
  <c r="D90" i="4"/>
  <c r="T85" i="4"/>
  <c r="L85" i="4"/>
  <c r="D85" i="4"/>
  <c r="D178" i="4"/>
  <c r="F178" i="4" s="1"/>
  <c r="D168" i="4"/>
  <c r="F168" i="4" s="1"/>
  <c r="D153" i="4"/>
  <c r="F153" i="4" s="1"/>
  <c r="D143" i="4"/>
  <c r="F143" i="4" s="1"/>
  <c r="Q90" i="4"/>
  <c r="I90" i="4"/>
  <c r="A328" i="4"/>
  <c r="A332" i="4"/>
  <c r="A322" i="4"/>
  <c r="D23" i="7"/>
  <c r="H42" i="7"/>
  <c r="W160" i="4"/>
  <c r="U161" i="4"/>
  <c r="B187" i="6"/>
  <c r="B100" i="4"/>
  <c r="F100" i="4"/>
  <c r="W100" i="4"/>
  <c r="H46" i="1"/>
  <c r="E187" i="6"/>
  <c r="H2" i="4"/>
  <c r="I4" i="4"/>
  <c r="V4" i="4"/>
  <c r="T4" i="4"/>
  <c r="M3" i="4"/>
  <c r="Z2" i="4"/>
  <c r="D4" i="4"/>
  <c r="J3" i="4"/>
  <c r="K3" i="4"/>
  <c r="L3" i="4"/>
  <c r="R2" i="4"/>
  <c r="R4" i="4"/>
  <c r="D2" i="4"/>
  <c r="H18" i="7" l="1"/>
  <c r="F107" i="1"/>
  <c r="F106" i="1"/>
  <c r="F105" i="1"/>
  <c r="F103" i="1"/>
  <c r="F104" i="1"/>
  <c r="A312" i="4"/>
  <c r="A311" i="4"/>
  <c r="A317" i="4"/>
  <c r="A336" i="4"/>
  <c r="D97" i="4"/>
  <c r="F97" i="4" s="1"/>
  <c r="D82" i="4"/>
  <c r="A324" i="4"/>
  <c r="A325" i="4"/>
  <c r="A314" i="4"/>
  <c r="A326" i="4"/>
  <c r="A334" i="4"/>
  <c r="A318" i="4"/>
  <c r="W116" i="4"/>
  <c r="X116" i="4"/>
  <c r="D87" i="4"/>
  <c r="F87" i="4" s="1"/>
  <c r="I68" i="7"/>
  <c r="R27" i="1"/>
  <c r="K49" i="1"/>
  <c r="I16" i="7"/>
  <c r="D156" i="6"/>
  <c r="D162" i="6"/>
  <c r="E162" i="6" s="1"/>
  <c r="D160" i="6"/>
  <c r="E160" i="6" s="1"/>
  <c r="D159" i="6"/>
  <c r="E159" i="6" s="1"/>
  <c r="D161" i="6"/>
  <c r="E161" i="6" s="1"/>
  <c r="D158" i="6"/>
  <c r="E158" i="6" s="1"/>
  <c r="C166" i="6"/>
  <c r="C167" i="6"/>
  <c r="C163" i="6"/>
  <c r="S27" i="6"/>
  <c r="H45" i="7"/>
  <c r="D168" i="6"/>
  <c r="D169" i="6" s="1"/>
  <c r="E52" i="7"/>
  <c r="E56" i="7"/>
  <c r="E30" i="6"/>
  <c r="D141" i="6"/>
  <c r="D145" i="6"/>
  <c r="O20" i="6"/>
  <c r="D144" i="6"/>
  <c r="D137" i="6"/>
  <c r="D142" i="6"/>
  <c r="E53" i="7"/>
  <c r="D147" i="6"/>
  <c r="D146" i="6"/>
  <c r="D155" i="6"/>
  <c r="D148" i="6"/>
  <c r="D143" i="6"/>
  <c r="E34" i="6"/>
  <c r="D139" i="6"/>
  <c r="D157" i="6"/>
  <c r="D135" i="6"/>
  <c r="E135" i="6" s="1"/>
  <c r="W4" i="3"/>
  <c r="H51" i="7"/>
  <c r="D140" i="6"/>
  <c r="C168" i="6"/>
  <c r="C169" i="6" s="1"/>
  <c r="D136" i="6"/>
  <c r="E136" i="6" s="1"/>
  <c r="D134" i="6"/>
  <c r="E134" i="6" s="1"/>
  <c r="D132" i="6"/>
  <c r="E132" i="6" s="1"/>
  <c r="E57" i="7"/>
  <c r="D138" i="6"/>
  <c r="D133" i="6"/>
  <c r="E133" i="6" s="1"/>
  <c r="E126" i="6"/>
  <c r="D127" i="6"/>
  <c r="E18" i="7"/>
  <c r="C171" i="6"/>
  <c r="T12" i="6"/>
  <c r="N15" i="6"/>
  <c r="C174" i="6"/>
  <c r="E101" i="7"/>
  <c r="E49" i="7"/>
  <c r="T13" i="6"/>
  <c r="C170" i="6"/>
  <c r="D46" i="8"/>
  <c r="D54" i="8"/>
  <c r="D45" i="8"/>
  <c r="D55" i="8"/>
  <c r="D48" i="8"/>
  <c r="D58" i="8"/>
  <c r="D50" i="8"/>
  <c r="D65" i="8"/>
  <c r="M14" i="6"/>
  <c r="D57" i="8"/>
  <c r="D51" i="8"/>
  <c r="D41" i="8"/>
  <c r="D49" i="8"/>
  <c r="D66" i="8"/>
  <c r="D59" i="8"/>
  <c r="D67" i="8"/>
  <c r="D61" i="8"/>
  <c r="D47" i="8"/>
  <c r="D60" i="8"/>
  <c r="D42" i="8"/>
  <c r="D43" i="8"/>
  <c r="D56" i="8"/>
  <c r="D44" i="8"/>
  <c r="D62" i="8"/>
  <c r="D52" i="8"/>
  <c r="D64" i="8"/>
  <c r="D63" i="8"/>
  <c r="D53" i="8"/>
  <c r="M12" i="6"/>
  <c r="F82" i="4"/>
  <c r="D118" i="4"/>
  <c r="F118" i="4" s="1"/>
  <c r="X190" i="4"/>
  <c r="C24" i="1"/>
  <c r="I41" i="7"/>
  <c r="E110" i="7"/>
  <c r="V161" i="4"/>
  <c r="X160" i="4"/>
  <c r="U235" i="4"/>
  <c r="S236" i="4"/>
  <c r="V231" i="4"/>
  <c r="X230" i="4"/>
  <c r="P5" i="3"/>
  <c r="Q5" i="3" s="1"/>
  <c r="AD5" i="3"/>
  <c r="A6" i="3"/>
  <c r="B6" i="3" s="1"/>
  <c r="AA5" i="3"/>
  <c r="AC5" i="3"/>
  <c r="Z5" i="3"/>
  <c r="C204" i="6"/>
  <c r="X221" i="4"/>
  <c r="W221" i="4"/>
  <c r="D218" i="4" s="1"/>
  <c r="F218" i="4" s="1"/>
  <c r="D123" i="4"/>
  <c r="W246" i="4"/>
  <c r="D243" i="4" s="1"/>
  <c r="F243" i="4" s="1"/>
  <c r="X246" i="4"/>
  <c r="X111" i="4"/>
  <c r="W111" i="4"/>
  <c r="D108" i="4" s="1"/>
  <c r="S189" i="4"/>
  <c r="Q191" i="4"/>
  <c r="U196" i="4"/>
  <c r="W195" i="4"/>
  <c r="X211" i="4"/>
  <c r="W211" i="4"/>
  <c r="F2" i="4"/>
  <c r="D113" i="4" l="1"/>
  <c r="F113" i="4" s="1"/>
  <c r="D208" i="4"/>
  <c r="F208" i="4" s="1"/>
  <c r="I28" i="6"/>
  <c r="C191" i="6" s="1"/>
  <c r="D166" i="6"/>
  <c r="E166" i="6" s="1"/>
  <c r="D167" i="6"/>
  <c r="E167" i="6" s="1"/>
  <c r="D164" i="6"/>
  <c r="E164" i="6" s="1"/>
  <c r="D165" i="6"/>
  <c r="E165" i="6" s="1"/>
  <c r="D163" i="6"/>
  <c r="E163" i="6" s="1"/>
  <c r="E29" i="6"/>
  <c r="E28" i="6"/>
  <c r="E127" i="6"/>
  <c r="R5" i="3"/>
  <c r="P6" i="3"/>
  <c r="Q6" i="3" s="1"/>
  <c r="R6" i="3" s="1"/>
  <c r="AA6" i="3"/>
  <c r="A7" i="3"/>
  <c r="B7" i="3" s="1"/>
  <c r="AC6" i="3"/>
  <c r="Z6" i="3"/>
  <c r="AD6" i="3"/>
  <c r="F108" i="4"/>
  <c r="F56" i="8"/>
  <c r="I56" i="8" s="1"/>
  <c r="E56" i="8"/>
  <c r="F66" i="8"/>
  <c r="I66" i="8" s="1"/>
  <c r="E66" i="8"/>
  <c r="F58" i="8"/>
  <c r="I58" i="8" s="1"/>
  <c r="E58" i="8"/>
  <c r="V196" i="4"/>
  <c r="X195" i="4"/>
  <c r="F43" i="8"/>
  <c r="I43" i="8" s="1"/>
  <c r="E43" i="8"/>
  <c r="E49" i="8"/>
  <c r="F49" i="8"/>
  <c r="I49" i="8" s="1"/>
  <c r="E48" i="8"/>
  <c r="F48" i="8"/>
  <c r="I48" i="8" s="1"/>
  <c r="F53" i="8"/>
  <c r="I53" i="8" s="1"/>
  <c r="E53" i="8"/>
  <c r="F42" i="8"/>
  <c r="I42" i="8" s="1"/>
  <c r="E42" i="8"/>
  <c r="F41" i="8"/>
  <c r="I41" i="8" s="1"/>
  <c r="E41" i="8"/>
  <c r="E55" i="8"/>
  <c r="F55" i="8"/>
  <c r="I55" i="8" s="1"/>
  <c r="F63" i="8"/>
  <c r="I63" i="8" s="1"/>
  <c r="E63" i="8"/>
  <c r="E60" i="8"/>
  <c r="F60" i="8"/>
  <c r="I60" i="8" s="1"/>
  <c r="F51" i="8"/>
  <c r="I51" i="8" s="1"/>
  <c r="E51" i="8"/>
  <c r="F45" i="8"/>
  <c r="I45" i="8" s="1"/>
  <c r="E45" i="8"/>
  <c r="I42" i="7"/>
  <c r="C150" i="6"/>
  <c r="F47" i="8"/>
  <c r="I47" i="8" s="1"/>
  <c r="E47" i="8"/>
  <c r="E54" i="8"/>
  <c r="F54" i="8"/>
  <c r="I54" i="8" s="1"/>
  <c r="F52" i="8"/>
  <c r="I52" i="8" s="1"/>
  <c r="E52" i="8"/>
  <c r="F61" i="8"/>
  <c r="I61" i="8" s="1"/>
  <c r="E61" i="8"/>
  <c r="F107" i="7"/>
  <c r="C10" i="1"/>
  <c r="S4" i="3" s="1"/>
  <c r="J41" i="7"/>
  <c r="E58" i="7"/>
  <c r="H65" i="7" s="1"/>
  <c r="C11" i="8"/>
  <c r="F46" i="8"/>
  <c r="I46" i="8" s="1"/>
  <c r="E46" i="8"/>
  <c r="E62" i="8"/>
  <c r="F62" i="8"/>
  <c r="I62" i="8" s="1"/>
  <c r="F67" i="8"/>
  <c r="I67" i="8" s="1"/>
  <c r="E67" i="8"/>
  <c r="F65" i="8"/>
  <c r="I65" i="8" s="1"/>
  <c r="E65" i="8"/>
  <c r="M15" i="6"/>
  <c r="W231" i="4"/>
  <c r="X231" i="4"/>
  <c r="D228" i="4" s="1"/>
  <c r="F228" i="4" s="1"/>
  <c r="X191" i="4"/>
  <c r="F64" i="8"/>
  <c r="I64" i="8" s="1"/>
  <c r="E64" i="8"/>
  <c r="F57" i="8"/>
  <c r="I57" i="8" s="1"/>
  <c r="E57" i="8"/>
  <c r="T189" i="4"/>
  <c r="R191" i="4"/>
  <c r="T236" i="4"/>
  <c r="V235" i="4"/>
  <c r="X161" i="4"/>
  <c r="W161" i="4"/>
  <c r="D158" i="4" s="1"/>
  <c r="F158" i="4" s="1"/>
  <c r="C30" i="1"/>
  <c r="H71" i="7"/>
  <c r="F44" i="8"/>
  <c r="I44" i="8" s="1"/>
  <c r="E44" i="8"/>
  <c r="E59" i="8"/>
  <c r="F59" i="8"/>
  <c r="I59" i="8" s="1"/>
  <c r="F50" i="8"/>
  <c r="I50" i="8" s="1"/>
  <c r="E50" i="8"/>
  <c r="D153" i="6" l="1"/>
  <c r="C192" i="6"/>
  <c r="C164" i="6"/>
  <c r="C165" i="6"/>
  <c r="M22" i="6"/>
  <c r="E35" i="6"/>
  <c r="O22" i="6" s="1"/>
  <c r="O19" i="6" s="1"/>
  <c r="H60" i="8"/>
  <c r="G60" i="8"/>
  <c r="H65" i="8"/>
  <c r="G65" i="8"/>
  <c r="H67" i="8"/>
  <c r="G67" i="8"/>
  <c r="Z7" i="3"/>
  <c r="A8" i="3"/>
  <c r="B8" i="3" s="1"/>
  <c r="AC7" i="3"/>
  <c r="AD7" i="3"/>
  <c r="P7" i="3"/>
  <c r="Q7" i="3" s="1"/>
  <c r="R7" i="3" s="1"/>
  <c r="AA7" i="3"/>
  <c r="H59" i="8"/>
  <c r="G59" i="8"/>
  <c r="W235" i="4"/>
  <c r="U236" i="4"/>
  <c r="U189" i="4"/>
  <c r="S191" i="4"/>
  <c r="G46" i="8"/>
  <c r="H46" i="8"/>
  <c r="H47" i="8"/>
  <c r="G47" i="8"/>
  <c r="H42" i="8"/>
  <c r="G42" i="8"/>
  <c r="G43" i="8"/>
  <c r="H43" i="8"/>
  <c r="H56" i="8"/>
  <c r="G56" i="8"/>
  <c r="H52" i="8"/>
  <c r="G52" i="8"/>
  <c r="J42" i="7"/>
  <c r="C149" i="6"/>
  <c r="C155" i="6"/>
  <c r="F108" i="7"/>
  <c r="T4" i="3"/>
  <c r="U4" i="3" s="1"/>
  <c r="S5" i="3"/>
  <c r="H55" i="8"/>
  <c r="G55" i="8"/>
  <c r="H48" i="8"/>
  <c r="G48" i="8"/>
  <c r="H44" i="8"/>
  <c r="G44" i="8"/>
  <c r="H57" i="8"/>
  <c r="G57" i="8"/>
  <c r="H53" i="8"/>
  <c r="G53" i="8"/>
  <c r="W196" i="4"/>
  <c r="X196" i="4"/>
  <c r="H64" i="8"/>
  <c r="G64" i="8"/>
  <c r="G45" i="8"/>
  <c r="H45" i="8"/>
  <c r="H58" i="8"/>
  <c r="G58" i="8"/>
  <c r="P28" i="1"/>
  <c r="K47" i="1"/>
  <c r="H16" i="7"/>
  <c r="P27" i="1"/>
  <c r="H68" i="7"/>
  <c r="H51" i="8"/>
  <c r="G51" i="8"/>
  <c r="G41" i="8"/>
  <c r="H41" i="8"/>
  <c r="H66" i="8"/>
  <c r="G66" i="8"/>
  <c r="H63" i="8"/>
  <c r="G63" i="8"/>
  <c r="H50" i="8"/>
  <c r="G50" i="8"/>
  <c r="H62" i="8"/>
  <c r="G62" i="8"/>
  <c r="H61" i="8"/>
  <c r="G61" i="8"/>
  <c r="H54" i="8"/>
  <c r="G54" i="8"/>
  <c r="H49" i="8"/>
  <c r="G49" i="8"/>
  <c r="D193" i="4" l="1"/>
  <c r="F193" i="4" s="1"/>
  <c r="H28" i="6"/>
  <c r="M19" i="6"/>
  <c r="K57" i="8"/>
  <c r="M57" i="8" s="1"/>
  <c r="K52" i="8"/>
  <c r="M52" i="8" s="1"/>
  <c r="K65" i="8"/>
  <c r="M65" i="8" s="1"/>
  <c r="J46" i="8"/>
  <c r="J42" i="8"/>
  <c r="J45" i="8"/>
  <c r="K44" i="8"/>
  <c r="M44" i="8" s="1"/>
  <c r="K60" i="8"/>
  <c r="M60" i="8" s="1"/>
  <c r="K54" i="8"/>
  <c r="M54" i="8" s="1"/>
  <c r="J53" i="8"/>
  <c r="J59" i="8"/>
  <c r="J67" i="8"/>
  <c r="J51" i="8"/>
  <c r="K62" i="8"/>
  <c r="M62" i="8" s="1"/>
  <c r="J61" i="8"/>
  <c r="J41" i="8"/>
  <c r="J58" i="8"/>
  <c r="J55" i="8"/>
  <c r="K47" i="8"/>
  <c r="M47" i="8" s="1"/>
  <c r="K67" i="8"/>
  <c r="M67" i="8" s="1"/>
  <c r="J64" i="8"/>
  <c r="J43" i="8"/>
  <c r="J56" i="8"/>
  <c r="J63" i="8"/>
  <c r="K49" i="8"/>
  <c r="M49" i="8" s="1"/>
  <c r="K50" i="8"/>
  <c r="M50" i="8" s="1"/>
  <c r="J66" i="8"/>
  <c r="K48" i="8"/>
  <c r="M48" i="8" s="1"/>
  <c r="P8" i="3"/>
  <c r="Q8" i="3" s="1"/>
  <c r="R8" i="3" s="1"/>
  <c r="Z8" i="3"/>
  <c r="AD8" i="3"/>
  <c r="AA8" i="3"/>
  <c r="AC8" i="3"/>
  <c r="A9" i="3"/>
  <c r="B9" i="3" s="1"/>
  <c r="J50" i="8"/>
  <c r="K61" i="8"/>
  <c r="M61" i="8" s="1"/>
  <c r="K66" i="8"/>
  <c r="M66" i="8" s="1"/>
  <c r="K58" i="8"/>
  <c r="M58" i="8" s="1"/>
  <c r="J57" i="8"/>
  <c r="K55" i="8"/>
  <c r="M55" i="8" s="1"/>
  <c r="K56" i="8"/>
  <c r="M56" i="8" s="1"/>
  <c r="J47" i="8"/>
  <c r="V236" i="4"/>
  <c r="X235" i="4"/>
  <c r="K53" i="8"/>
  <c r="M53" i="8" s="1"/>
  <c r="K59" i="8"/>
  <c r="M59" i="8" s="1"/>
  <c r="J65" i="8"/>
  <c r="T5" i="3"/>
  <c r="S6" i="3"/>
  <c r="K43" i="8"/>
  <c r="M43" i="8" s="1"/>
  <c r="K46" i="8"/>
  <c r="M46" i="8" s="1"/>
  <c r="J49" i="8"/>
  <c r="J62" i="8"/>
  <c r="K45" i="8"/>
  <c r="M45" i="8" s="1"/>
  <c r="J44" i="8"/>
  <c r="K63" i="8"/>
  <c r="M63" i="8" s="1"/>
  <c r="K41" i="8"/>
  <c r="M41" i="8" s="1"/>
  <c r="K42" i="8"/>
  <c r="M42" i="8" s="1"/>
  <c r="K51" i="8"/>
  <c r="M51" i="8" s="1"/>
  <c r="K64" i="8"/>
  <c r="M64" i="8" s="1"/>
  <c r="J60" i="8"/>
  <c r="V189" i="4"/>
  <c r="T191" i="4"/>
  <c r="J54" i="8"/>
  <c r="J48" i="8"/>
  <c r="J52" i="8"/>
  <c r="L54" i="8" l="1"/>
  <c r="L57" i="8"/>
  <c r="C194" i="6"/>
  <c r="C190" i="6"/>
  <c r="S28" i="6"/>
  <c r="C193" i="6"/>
  <c r="D152" i="6"/>
  <c r="H46" i="7"/>
  <c r="H13" i="7"/>
  <c r="L52" i="8"/>
  <c r="L65" i="8"/>
  <c r="L44" i="8"/>
  <c r="L50" i="8"/>
  <c r="L60" i="8"/>
  <c r="L43" i="8"/>
  <c r="L49" i="8"/>
  <c r="L67" i="8"/>
  <c r="L41" i="8"/>
  <c r="L56" i="8"/>
  <c r="L66" i="8"/>
  <c r="L58" i="8"/>
  <c r="L42" i="8"/>
  <c r="L62" i="8"/>
  <c r="L51" i="8"/>
  <c r="L48" i="8"/>
  <c r="L47" i="8"/>
  <c r="AD9" i="3"/>
  <c r="AC9" i="3"/>
  <c r="AA9" i="3"/>
  <c r="P9" i="3"/>
  <c r="Q9" i="3" s="1"/>
  <c r="R9" i="3" s="1"/>
  <c r="Z9" i="3"/>
  <c r="A10" i="3"/>
  <c r="B10" i="3" s="1"/>
  <c r="W189" i="4"/>
  <c r="U191" i="4"/>
  <c r="AH5" i="3"/>
  <c r="D5" i="3"/>
  <c r="AG5" i="3"/>
  <c r="E5" i="3"/>
  <c r="H5" i="3" s="1"/>
  <c r="L61" i="8"/>
  <c r="L46" i="8"/>
  <c r="L59" i="8"/>
  <c r="L64" i="8"/>
  <c r="W236" i="4"/>
  <c r="X236" i="4"/>
  <c r="D233" i="4" s="1"/>
  <c r="L55" i="8"/>
  <c r="L53" i="8"/>
  <c r="L63" i="8"/>
  <c r="S7" i="3"/>
  <c r="T6" i="3"/>
  <c r="L45" i="8"/>
  <c r="T7" i="3" l="1"/>
  <c r="S8" i="3"/>
  <c r="V191" i="4"/>
  <c r="W191" i="4"/>
  <c r="D188" i="4" s="1"/>
  <c r="K5" i="3"/>
  <c r="AA10" i="3"/>
  <c r="P10" i="3"/>
  <c r="Q10" i="3" s="1"/>
  <c r="R10" i="3" s="1"/>
  <c r="AD10" i="3"/>
  <c r="Z10" i="3"/>
  <c r="A11" i="3"/>
  <c r="B11" i="3" s="1"/>
  <c r="AC10" i="3"/>
  <c r="F5" i="3"/>
  <c r="G5" i="3"/>
  <c r="AC11" i="3" l="1"/>
  <c r="AD11" i="3"/>
  <c r="A12" i="3"/>
  <c r="B12" i="3" s="1"/>
  <c r="P11" i="3"/>
  <c r="Q11" i="3" s="1"/>
  <c r="R11" i="3" s="1"/>
  <c r="Z11" i="3"/>
  <c r="AA11" i="3"/>
  <c r="V5" i="3"/>
  <c r="AE5" i="3"/>
  <c r="F188" i="4"/>
  <c r="N34" i="1"/>
  <c r="M36" i="6"/>
  <c r="S9" i="3"/>
  <c r="T8" i="3"/>
  <c r="J5" i="3"/>
  <c r="I5" i="3"/>
  <c r="M5" i="3"/>
  <c r="N5" i="3" s="1"/>
  <c r="W5" i="3" l="1"/>
  <c r="P12" i="3"/>
  <c r="Q12" i="3" s="1"/>
  <c r="R12" i="3" s="1"/>
  <c r="Z12" i="3"/>
  <c r="A13" i="3"/>
  <c r="B13" i="3" s="1"/>
  <c r="AD12" i="3"/>
  <c r="AA12" i="3"/>
  <c r="AC12" i="3"/>
  <c r="L5" i="3"/>
  <c r="S10" i="3"/>
  <c r="T9" i="3"/>
  <c r="AG6" i="3" l="1"/>
  <c r="AH6" i="3"/>
  <c r="U5" i="3"/>
  <c r="E6" i="3" s="1"/>
  <c r="H6" i="3" s="1"/>
  <c r="AD13" i="3"/>
  <c r="P13" i="3"/>
  <c r="Q13" i="3" s="1"/>
  <c r="R13" i="3" s="1"/>
  <c r="AC13" i="3"/>
  <c r="Z13" i="3"/>
  <c r="A14" i="3"/>
  <c r="B14" i="3" s="1"/>
  <c r="AA13" i="3"/>
  <c r="T10" i="3"/>
  <c r="S11" i="3"/>
  <c r="AC14" i="3" l="1"/>
  <c r="AA14" i="3"/>
  <c r="Z14" i="3"/>
  <c r="AD14" i="3"/>
  <c r="A15" i="3"/>
  <c r="B15" i="3" s="1"/>
  <c r="P14" i="3"/>
  <c r="Q14" i="3" s="1"/>
  <c r="R14" i="3" s="1"/>
  <c r="K6" i="3"/>
  <c r="D6" i="3"/>
  <c r="S12" i="3"/>
  <c r="T11" i="3"/>
  <c r="P15" i="3" l="1"/>
  <c r="Q15" i="3" s="1"/>
  <c r="R15" i="3" s="1"/>
  <c r="AA15" i="3"/>
  <c r="Z15" i="3"/>
  <c r="AC15" i="3"/>
  <c r="AD15" i="3"/>
  <c r="A16" i="3"/>
  <c r="B16" i="3" s="1"/>
  <c r="T12" i="3"/>
  <c r="S13" i="3"/>
  <c r="V6" i="3"/>
  <c r="AE6" i="3"/>
  <c r="F6" i="3"/>
  <c r="G6" i="3"/>
  <c r="P16" i="3" l="1"/>
  <c r="Q16" i="3" s="1"/>
  <c r="R16" i="3" s="1"/>
  <c r="A17" i="3"/>
  <c r="B17" i="3" s="1"/>
  <c r="AA16" i="3"/>
  <c r="AC16" i="3"/>
  <c r="AD16" i="3"/>
  <c r="Z16" i="3"/>
  <c r="I6" i="3"/>
  <c r="W6" i="3" s="1"/>
  <c r="J6" i="3"/>
  <c r="M6" i="3"/>
  <c r="N6" i="3" s="1"/>
  <c r="S14" i="3"/>
  <c r="T13" i="3"/>
  <c r="T14" i="3" l="1"/>
  <c r="S15" i="3"/>
  <c r="L6" i="3"/>
  <c r="A18" i="3"/>
  <c r="B18" i="3" s="1"/>
  <c r="AC17" i="3"/>
  <c r="AD17" i="3"/>
  <c r="Z17" i="3"/>
  <c r="AA17" i="3"/>
  <c r="P17" i="3"/>
  <c r="Q17" i="3" s="1"/>
  <c r="R17" i="3" s="1"/>
  <c r="AC18" i="3" l="1"/>
  <c r="P18" i="3"/>
  <c r="Q18" i="3" s="1"/>
  <c r="R18" i="3" s="1"/>
  <c r="Z18" i="3"/>
  <c r="AD18" i="3"/>
  <c r="AA18" i="3"/>
  <c r="A19" i="3"/>
  <c r="B19" i="3" s="1"/>
  <c r="AG7" i="3"/>
  <c r="U6" i="3"/>
  <c r="E7" i="3" s="1"/>
  <c r="H7" i="3" s="1"/>
  <c r="AH7" i="3"/>
  <c r="Y5" i="3"/>
  <c r="S16" i="3"/>
  <c r="T15" i="3"/>
  <c r="K7" i="3" l="1"/>
  <c r="AC19" i="3"/>
  <c r="A20" i="3"/>
  <c r="B20" i="3" s="1"/>
  <c r="AA19" i="3"/>
  <c r="P19" i="3"/>
  <c r="Q19" i="3" s="1"/>
  <c r="R19" i="3" s="1"/>
  <c r="Z19" i="3"/>
  <c r="AD19" i="3"/>
  <c r="T16" i="3"/>
  <c r="S17" i="3"/>
  <c r="D7" i="3"/>
  <c r="A21" i="3" l="1"/>
  <c r="B21" i="3" s="1"/>
  <c r="AA20" i="3"/>
  <c r="AC20" i="3"/>
  <c r="AD20" i="3"/>
  <c r="Z20" i="3"/>
  <c r="P20" i="3"/>
  <c r="Q20" i="3" s="1"/>
  <c r="R20" i="3" s="1"/>
  <c r="F7" i="3"/>
  <c r="G7" i="3"/>
  <c r="V7" i="3"/>
  <c r="AE7" i="3"/>
  <c r="T17" i="3"/>
  <c r="S18" i="3"/>
  <c r="AA21" i="3" l="1"/>
  <c r="AD21" i="3"/>
  <c r="AC21" i="3"/>
  <c r="A22" i="3"/>
  <c r="B22" i="3" s="1"/>
  <c r="P21" i="3"/>
  <c r="Q21" i="3" s="1"/>
  <c r="R21" i="3" s="1"/>
  <c r="Z21" i="3"/>
  <c r="T18" i="3"/>
  <c r="S19" i="3"/>
  <c r="I7" i="3"/>
  <c r="J7" i="3"/>
  <c r="M7" i="3"/>
  <c r="N7" i="3" s="1"/>
  <c r="AC22" i="3" l="1"/>
  <c r="Z22" i="3"/>
  <c r="AD22" i="3"/>
  <c r="P22" i="3"/>
  <c r="Q22" i="3" s="1"/>
  <c r="R22" i="3" s="1"/>
  <c r="AA22" i="3"/>
  <c r="A23" i="3"/>
  <c r="B23" i="3" s="1"/>
  <c r="S20" i="3"/>
  <c r="T19" i="3"/>
  <c r="L7" i="3"/>
  <c r="W7" i="3"/>
  <c r="AC23" i="3" l="1"/>
  <c r="P23" i="3"/>
  <c r="Q23" i="3" s="1"/>
  <c r="R23" i="3" s="1"/>
  <c r="A24" i="3"/>
  <c r="B24" i="3" s="1"/>
  <c r="AA23" i="3"/>
  <c r="Z23" i="3"/>
  <c r="AD23" i="3"/>
  <c r="AH8" i="3"/>
  <c r="U7" i="3"/>
  <c r="E8" i="3" s="1"/>
  <c r="H8" i="3" s="1"/>
  <c r="AG8" i="3"/>
  <c r="Y6" i="3"/>
  <c r="S21" i="3"/>
  <c r="T20" i="3"/>
  <c r="D8" i="3" l="1"/>
  <c r="F8" i="3" s="1"/>
  <c r="K8" i="3"/>
  <c r="T21" i="3"/>
  <c r="S22" i="3"/>
  <c r="AC24" i="3"/>
  <c r="AA24" i="3"/>
  <c r="AD24" i="3"/>
  <c r="A25" i="3"/>
  <c r="B25" i="3" s="1"/>
  <c r="Z24" i="3"/>
  <c r="P24" i="3"/>
  <c r="Q24" i="3" s="1"/>
  <c r="R24" i="3" s="1"/>
  <c r="G8" i="3" l="1"/>
  <c r="I8" i="3" s="1"/>
  <c r="Z25" i="3"/>
  <c r="P25" i="3"/>
  <c r="Q25" i="3" s="1"/>
  <c r="R25" i="3" s="1"/>
  <c r="AD25" i="3"/>
  <c r="A26" i="3"/>
  <c r="B26" i="3" s="1"/>
  <c r="AC25" i="3"/>
  <c r="AA25" i="3"/>
  <c r="V8" i="3"/>
  <c r="AE8" i="3"/>
  <c r="S23" i="3"/>
  <c r="T22" i="3"/>
  <c r="M8" i="3" l="1"/>
  <c r="N8" i="3" s="1"/>
  <c r="J8" i="3"/>
  <c r="L8" i="3" s="1"/>
  <c r="AD26" i="3"/>
  <c r="AC26" i="3"/>
  <c r="Z26" i="3"/>
  <c r="A27" i="3"/>
  <c r="B27" i="3" s="1"/>
  <c r="AA26" i="3"/>
  <c r="P26" i="3"/>
  <c r="Q26" i="3" s="1"/>
  <c r="R26" i="3" s="1"/>
  <c r="W8" i="3"/>
  <c r="S24" i="3"/>
  <c r="T23" i="3"/>
  <c r="AA27" i="3" l="1"/>
  <c r="A28" i="3"/>
  <c r="B28" i="3" s="1"/>
  <c r="P27" i="3"/>
  <c r="Q27" i="3" s="1"/>
  <c r="R27" i="3" s="1"/>
  <c r="AD27" i="3"/>
  <c r="AC27" i="3"/>
  <c r="Z27" i="3"/>
  <c r="T24" i="3"/>
  <c r="S25" i="3"/>
  <c r="U8" i="3"/>
  <c r="D9" i="3" s="1"/>
  <c r="AH9" i="3"/>
  <c r="AG9" i="3"/>
  <c r="Y7" i="3"/>
  <c r="E9" i="3" l="1"/>
  <c r="H9" i="3" s="1"/>
  <c r="K9" i="3" s="1"/>
  <c r="A29" i="3"/>
  <c r="B29" i="3" s="1"/>
  <c r="AC28" i="3"/>
  <c r="P28" i="3"/>
  <c r="Q28" i="3" s="1"/>
  <c r="R28" i="3" s="1"/>
  <c r="AA28" i="3"/>
  <c r="Z28" i="3"/>
  <c r="AD28" i="3"/>
  <c r="S26" i="3"/>
  <c r="T25" i="3"/>
  <c r="G9" i="3"/>
  <c r="F9" i="3" l="1"/>
  <c r="V9" i="3"/>
  <c r="AE9" i="3"/>
  <c r="I9" i="3"/>
  <c r="J9" i="3"/>
  <c r="M9" i="3"/>
  <c r="N9" i="3" s="1"/>
  <c r="S27" i="3"/>
  <c r="T26" i="3"/>
  <c r="AC29" i="3"/>
  <c r="P29" i="3"/>
  <c r="Q29" i="3" s="1"/>
  <c r="R29" i="3" s="1"/>
  <c r="AD29" i="3"/>
  <c r="Z29" i="3"/>
  <c r="A30" i="3"/>
  <c r="B30" i="3" s="1"/>
  <c r="AA29" i="3"/>
  <c r="L9" i="3" l="1"/>
  <c r="P30" i="3"/>
  <c r="Q30" i="3" s="1"/>
  <c r="R30" i="3" s="1"/>
  <c r="Z30" i="3"/>
  <c r="AD30" i="3"/>
  <c r="A31" i="3"/>
  <c r="B31" i="3" s="1"/>
  <c r="AC30" i="3"/>
  <c r="AA30" i="3"/>
  <c r="T27" i="3"/>
  <c r="S28" i="3"/>
  <c r="W9" i="3"/>
  <c r="AC31" i="3" l="1"/>
  <c r="Z31" i="3"/>
  <c r="AA31" i="3"/>
  <c r="A32" i="3"/>
  <c r="B32" i="3" s="1"/>
  <c r="AD31" i="3"/>
  <c r="P31" i="3"/>
  <c r="Q31" i="3" s="1"/>
  <c r="R31" i="3" s="1"/>
  <c r="S29" i="3"/>
  <c r="T28" i="3"/>
  <c r="AG10" i="3"/>
  <c r="AH10" i="3"/>
  <c r="U9" i="3"/>
  <c r="D10" i="3" s="1"/>
  <c r="Y8" i="3"/>
  <c r="AA32" i="3" l="1"/>
  <c r="AC32" i="3"/>
  <c r="AD32" i="3"/>
  <c r="Z32" i="3"/>
  <c r="P32" i="3"/>
  <c r="Q32" i="3" s="1"/>
  <c r="R32" i="3" s="1"/>
  <c r="A33" i="3"/>
  <c r="B33" i="3" s="1"/>
  <c r="G10" i="3"/>
  <c r="E10" i="3"/>
  <c r="H10" i="3" s="1"/>
  <c r="T29" i="3"/>
  <c r="S30" i="3"/>
  <c r="AC33" i="3" l="1"/>
  <c r="A34" i="3"/>
  <c r="B34" i="3" s="1"/>
  <c r="Z33" i="3"/>
  <c r="AD33" i="3"/>
  <c r="P33" i="3"/>
  <c r="Q33" i="3" s="1"/>
  <c r="R33" i="3" s="1"/>
  <c r="AA33" i="3"/>
  <c r="K10" i="3"/>
  <c r="S31" i="3"/>
  <c r="T30" i="3"/>
  <c r="I10" i="3"/>
  <c r="J10" i="3"/>
  <c r="M10" i="3"/>
  <c r="N10" i="3" s="1"/>
  <c r="F10" i="3"/>
  <c r="L10" i="3" l="1"/>
  <c r="S32" i="3"/>
  <c r="T31" i="3"/>
  <c r="V10" i="3"/>
  <c r="W10" i="3" s="1"/>
  <c r="AE10" i="3"/>
  <c r="AA34" i="3"/>
  <c r="AD34" i="3"/>
  <c r="AC34" i="3"/>
  <c r="Z34" i="3"/>
  <c r="A35" i="3"/>
  <c r="B35" i="3" s="1"/>
  <c r="P34" i="3"/>
  <c r="Q34" i="3" s="1"/>
  <c r="R34" i="3" s="1"/>
  <c r="AC35" i="3" l="1"/>
  <c r="AA35" i="3"/>
  <c r="AD35" i="3"/>
  <c r="Z35" i="3"/>
  <c r="P35" i="3"/>
  <c r="Q35" i="3" s="1"/>
  <c r="R35" i="3" s="1"/>
  <c r="A36" i="3"/>
  <c r="B36" i="3" s="1"/>
  <c r="T32" i="3"/>
  <c r="S33" i="3"/>
  <c r="AG11" i="3"/>
  <c r="AH11" i="3"/>
  <c r="U10" i="3"/>
  <c r="D11" i="3" s="1"/>
  <c r="Y9" i="3"/>
  <c r="E11" i="3" l="1"/>
  <c r="H11" i="3" s="1"/>
  <c r="K11" i="3" s="1"/>
  <c r="A37" i="3"/>
  <c r="B37" i="3" s="1"/>
  <c r="AC36" i="3"/>
  <c r="P36" i="3"/>
  <c r="Q36" i="3" s="1"/>
  <c r="R36" i="3" s="1"/>
  <c r="AD36" i="3"/>
  <c r="AA36" i="3"/>
  <c r="Z36" i="3"/>
  <c r="G11" i="3"/>
  <c r="S34" i="3"/>
  <c r="T33" i="3"/>
  <c r="F11" i="3" l="1"/>
  <c r="P37" i="3"/>
  <c r="Q37" i="3" s="1"/>
  <c r="R37" i="3" s="1"/>
  <c r="A38" i="3"/>
  <c r="B38" i="3" s="1"/>
  <c r="Z37" i="3"/>
  <c r="AC37" i="3"/>
  <c r="AD37" i="3"/>
  <c r="AA37" i="3"/>
  <c r="V11" i="3"/>
  <c r="AE11" i="3"/>
  <c r="I11" i="3"/>
  <c r="J11" i="3"/>
  <c r="M11" i="3"/>
  <c r="N11" i="3" s="1"/>
  <c r="S35" i="3"/>
  <c r="T34" i="3"/>
  <c r="P38" i="3" l="1"/>
  <c r="Q38" i="3" s="1"/>
  <c r="R38" i="3" s="1"/>
  <c r="Z38" i="3"/>
  <c r="AC38" i="3"/>
  <c r="A39" i="3"/>
  <c r="B39" i="3" s="1"/>
  <c r="AD38" i="3"/>
  <c r="AA38" i="3"/>
  <c r="L11" i="3"/>
  <c r="S36" i="3"/>
  <c r="T35" i="3"/>
  <c r="W11" i="3"/>
  <c r="AC39" i="3" l="1"/>
  <c r="AD39" i="3"/>
  <c r="Z39" i="3"/>
  <c r="AA39" i="3"/>
  <c r="A40" i="3"/>
  <c r="B40" i="3" s="1"/>
  <c r="P39" i="3"/>
  <c r="Q39" i="3" s="1"/>
  <c r="R39" i="3" s="1"/>
  <c r="T36" i="3"/>
  <c r="S37" i="3"/>
  <c r="AG12" i="3"/>
  <c r="AH12" i="3"/>
  <c r="U11" i="3"/>
  <c r="D12" i="3" s="1"/>
  <c r="Y10" i="3"/>
  <c r="E12" i="3" l="1"/>
  <c r="H12" i="3" s="1"/>
  <c r="K12" i="3" s="1"/>
  <c r="AA40" i="3"/>
  <c r="AC40" i="3"/>
  <c r="AD40" i="3"/>
  <c r="P40" i="3"/>
  <c r="Q40" i="3" s="1"/>
  <c r="R40" i="3" s="1"/>
  <c r="Z40" i="3"/>
  <c r="A41" i="3"/>
  <c r="B41" i="3" s="1"/>
  <c r="G12" i="3"/>
  <c r="S38" i="3"/>
  <c r="T37" i="3"/>
  <c r="F12" i="3" l="1"/>
  <c r="A42" i="3"/>
  <c r="B42" i="3" s="1"/>
  <c r="Z41" i="3"/>
  <c r="AC41" i="3"/>
  <c r="AA41" i="3"/>
  <c r="AD41" i="3"/>
  <c r="P41" i="3"/>
  <c r="Q41" i="3" s="1"/>
  <c r="R41" i="3" s="1"/>
  <c r="T38" i="3"/>
  <c r="S39" i="3"/>
  <c r="V12" i="3"/>
  <c r="AE12" i="3"/>
  <c r="I12" i="3"/>
  <c r="J12" i="3"/>
  <c r="M12" i="3"/>
  <c r="N12" i="3" s="1"/>
  <c r="T39" i="3" l="1"/>
  <c r="S40" i="3"/>
  <c r="W12" i="3"/>
  <c r="AD42" i="3"/>
  <c r="AC42" i="3"/>
  <c r="A43" i="3"/>
  <c r="B43" i="3" s="1"/>
  <c r="P42" i="3"/>
  <c r="Q42" i="3" s="1"/>
  <c r="R42" i="3" s="1"/>
  <c r="Z42" i="3"/>
  <c r="AA42" i="3"/>
  <c r="L12" i="3"/>
  <c r="AD43" i="3" l="1"/>
  <c r="P43" i="3"/>
  <c r="Q43" i="3" s="1"/>
  <c r="R43" i="3" s="1"/>
  <c r="AC43" i="3"/>
  <c r="Z43" i="3"/>
  <c r="A44" i="3"/>
  <c r="B44" i="3" s="1"/>
  <c r="AA43" i="3"/>
  <c r="AH13" i="3"/>
  <c r="U12" i="3"/>
  <c r="D13" i="3" s="1"/>
  <c r="AG13" i="3"/>
  <c r="Y11" i="3"/>
  <c r="T40" i="3"/>
  <c r="S41" i="3"/>
  <c r="E13" i="3" l="1"/>
  <c r="H13" i="3" s="1"/>
  <c r="K13" i="3" s="1"/>
  <c r="G13" i="3"/>
  <c r="A45" i="3"/>
  <c r="B45" i="3" s="1"/>
  <c r="AC44" i="3"/>
  <c r="AD44" i="3"/>
  <c r="AA44" i="3"/>
  <c r="P44" i="3"/>
  <c r="Q44" i="3" s="1"/>
  <c r="R44" i="3" s="1"/>
  <c r="Z44" i="3"/>
  <c r="S42" i="3"/>
  <c r="T41" i="3"/>
  <c r="F13" i="3" l="1"/>
  <c r="V13" i="3"/>
  <c r="AE13" i="3"/>
  <c r="I13" i="3"/>
  <c r="J13" i="3"/>
  <c r="M13" i="3"/>
  <c r="N13" i="3" s="1"/>
  <c r="T42" i="3"/>
  <c r="S43" i="3"/>
  <c r="AA45" i="3"/>
  <c r="A46" i="3"/>
  <c r="B46" i="3" s="1"/>
  <c r="Z45" i="3"/>
  <c r="AC45" i="3"/>
  <c r="P45" i="3"/>
  <c r="Q45" i="3" s="1"/>
  <c r="R45" i="3" s="1"/>
  <c r="AD45" i="3"/>
  <c r="AD46" i="3" l="1"/>
  <c r="P46" i="3"/>
  <c r="Q46" i="3" s="1"/>
  <c r="R46" i="3" s="1"/>
  <c r="AC46" i="3"/>
  <c r="AA46" i="3"/>
  <c r="A47" i="3"/>
  <c r="B47" i="3" s="1"/>
  <c r="Z46" i="3"/>
  <c r="T43" i="3"/>
  <c r="S44" i="3"/>
  <c r="W13" i="3"/>
  <c r="L13" i="3"/>
  <c r="AD47" i="3" l="1"/>
  <c r="P47" i="3"/>
  <c r="Q47" i="3" s="1"/>
  <c r="R47" i="3" s="1"/>
  <c r="A48" i="3"/>
  <c r="B48" i="3" s="1"/>
  <c r="Z47" i="3"/>
  <c r="AA47" i="3"/>
  <c r="AC47" i="3"/>
  <c r="U13" i="3"/>
  <c r="E14" i="3" s="1"/>
  <c r="H14" i="3" s="1"/>
  <c r="AH14" i="3"/>
  <c r="AG14" i="3"/>
  <c r="Y12" i="3"/>
  <c r="T44" i="3"/>
  <c r="S45" i="3"/>
  <c r="D14" i="3" l="1"/>
  <c r="F14" i="3" s="1"/>
  <c r="P48" i="3"/>
  <c r="Q48" i="3" s="1"/>
  <c r="R48" i="3" s="1"/>
  <c r="AA48" i="3"/>
  <c r="AD48" i="3"/>
  <c r="AC48" i="3"/>
  <c r="A49" i="3"/>
  <c r="B49" i="3" s="1"/>
  <c r="Z48" i="3"/>
  <c r="K14" i="3"/>
  <c r="S46" i="3"/>
  <c r="T45" i="3"/>
  <c r="G14" i="3" l="1"/>
  <c r="M14" i="3" s="1"/>
  <c r="N14" i="3" s="1"/>
  <c r="AC49" i="3"/>
  <c r="AD49" i="3"/>
  <c r="P49" i="3"/>
  <c r="Q49" i="3" s="1"/>
  <c r="R49" i="3" s="1"/>
  <c r="AA49" i="3"/>
  <c r="Z49" i="3"/>
  <c r="A50" i="3"/>
  <c r="B50" i="3" s="1"/>
  <c r="S47" i="3"/>
  <c r="T46" i="3"/>
  <c r="V14" i="3"/>
  <c r="AE14" i="3"/>
  <c r="J14" i="3" l="1"/>
  <c r="L14" i="3" s="1"/>
  <c r="I14" i="3"/>
  <c r="W14" i="3" s="1"/>
  <c r="P50" i="3"/>
  <c r="Q50" i="3" s="1"/>
  <c r="R50" i="3" s="1"/>
  <c r="A51" i="3"/>
  <c r="B51" i="3" s="1"/>
  <c r="AC50" i="3"/>
  <c r="Z50" i="3"/>
  <c r="AA50" i="3"/>
  <c r="AD50" i="3"/>
  <c r="T47" i="3"/>
  <c r="S48" i="3"/>
  <c r="AD51" i="3" l="1"/>
  <c r="AC51" i="3"/>
  <c r="AA51" i="3"/>
  <c r="P51" i="3"/>
  <c r="Q51" i="3" s="1"/>
  <c r="R51" i="3" s="1"/>
  <c r="Z51" i="3"/>
  <c r="A52" i="3"/>
  <c r="B52" i="3" s="1"/>
  <c r="S49" i="3"/>
  <c r="T48" i="3"/>
  <c r="AG15" i="3"/>
  <c r="AH15" i="3"/>
  <c r="U14" i="3"/>
  <c r="D15" i="3" s="1"/>
  <c r="Y13" i="3"/>
  <c r="AD52" i="3" l="1"/>
  <c r="AA52" i="3"/>
  <c r="Z52" i="3"/>
  <c r="AC52" i="3"/>
  <c r="A53" i="3"/>
  <c r="B53" i="3" s="1"/>
  <c r="P52" i="3"/>
  <c r="Q52" i="3" s="1"/>
  <c r="R52" i="3" s="1"/>
  <c r="G15" i="3"/>
  <c r="E15" i="3"/>
  <c r="H15" i="3" s="1"/>
  <c r="S50" i="3"/>
  <c r="T49" i="3"/>
  <c r="AA53" i="3" l="1"/>
  <c r="AC53" i="3"/>
  <c r="AD53" i="3"/>
  <c r="A54" i="3"/>
  <c r="B54" i="3" s="1"/>
  <c r="P53" i="3"/>
  <c r="Q53" i="3" s="1"/>
  <c r="R53" i="3" s="1"/>
  <c r="Z53" i="3"/>
  <c r="T50" i="3"/>
  <c r="S51" i="3"/>
  <c r="I15" i="3"/>
  <c r="J15" i="3"/>
  <c r="M15" i="3"/>
  <c r="N15" i="3" s="1"/>
  <c r="K15" i="3"/>
  <c r="F15" i="3"/>
  <c r="AC54" i="3" l="1"/>
  <c r="A55" i="3"/>
  <c r="B55" i="3" s="1"/>
  <c r="Z54" i="3"/>
  <c r="P54" i="3"/>
  <c r="Q54" i="3" s="1"/>
  <c r="R54" i="3" s="1"/>
  <c r="AA54" i="3"/>
  <c r="AD54" i="3"/>
  <c r="L15" i="3"/>
  <c r="T51" i="3"/>
  <c r="S52" i="3"/>
  <c r="V15" i="3"/>
  <c r="W15" i="3" s="1"/>
  <c r="AE15" i="3"/>
  <c r="Z55" i="3" l="1"/>
  <c r="P55" i="3"/>
  <c r="Q55" i="3" s="1"/>
  <c r="R55" i="3" s="1"/>
  <c r="AD55" i="3"/>
  <c r="A56" i="3"/>
  <c r="B56" i="3" s="1"/>
  <c r="AC55" i="3"/>
  <c r="AA55" i="3"/>
  <c r="S53" i="3"/>
  <c r="T52" i="3"/>
  <c r="U15" i="3"/>
  <c r="D16" i="3" s="1"/>
  <c r="AH16" i="3"/>
  <c r="AG16" i="3"/>
  <c r="Y14" i="3"/>
  <c r="E16" i="3" l="1"/>
  <c r="H16" i="3" s="1"/>
  <c r="K16" i="3" s="1"/>
  <c r="AA56" i="3"/>
  <c r="P56" i="3"/>
  <c r="Q56" i="3" s="1"/>
  <c r="R56" i="3" s="1"/>
  <c r="A57" i="3"/>
  <c r="B57" i="3" s="1"/>
  <c r="Z56" i="3"/>
  <c r="AD56" i="3"/>
  <c r="AC56" i="3"/>
  <c r="G16" i="3"/>
  <c r="S54" i="3"/>
  <c r="T53" i="3"/>
  <c r="F16" i="3" l="1"/>
  <c r="AA57" i="3"/>
  <c r="A58" i="3"/>
  <c r="B58" i="3" s="1"/>
  <c r="AC57" i="3"/>
  <c r="P57" i="3"/>
  <c r="Q57" i="3" s="1"/>
  <c r="R57" i="3" s="1"/>
  <c r="AD57" i="3"/>
  <c r="Z57" i="3"/>
  <c r="V16" i="3"/>
  <c r="AE16" i="3"/>
  <c r="S55" i="3"/>
  <c r="T54" i="3"/>
  <c r="I16" i="3"/>
  <c r="J16" i="3"/>
  <c r="M16" i="3"/>
  <c r="N16" i="3" s="1"/>
  <c r="AD58" i="3" l="1"/>
  <c r="AA58" i="3"/>
  <c r="A59" i="3"/>
  <c r="B59" i="3" s="1"/>
  <c r="P58" i="3"/>
  <c r="Q58" i="3" s="1"/>
  <c r="R58" i="3" s="1"/>
  <c r="AC58" i="3"/>
  <c r="Z58" i="3"/>
  <c r="S56" i="3"/>
  <c r="T55" i="3"/>
  <c r="W16" i="3"/>
  <c r="L16" i="3"/>
  <c r="AH17" i="3" l="1"/>
  <c r="AG17" i="3"/>
  <c r="U16" i="3"/>
  <c r="E17" i="3" s="1"/>
  <c r="H17" i="3" s="1"/>
  <c r="Y15" i="3"/>
  <c r="P59" i="3"/>
  <c r="Q59" i="3" s="1"/>
  <c r="R59" i="3" s="1"/>
  <c r="AA59" i="3"/>
  <c r="Z59" i="3"/>
  <c r="A60" i="3"/>
  <c r="B60" i="3" s="1"/>
  <c r="AC59" i="3"/>
  <c r="AD59" i="3"/>
  <c r="T56" i="3"/>
  <c r="S57" i="3"/>
  <c r="D17" i="3" l="1"/>
  <c r="F17" i="3" s="1"/>
  <c r="AA60" i="3"/>
  <c r="AD60" i="3"/>
  <c r="Z60" i="3"/>
  <c r="AC60" i="3"/>
  <c r="P60" i="3"/>
  <c r="Q60" i="3" s="1"/>
  <c r="R60" i="3" s="1"/>
  <c r="A61" i="3"/>
  <c r="B61" i="3" s="1"/>
  <c r="K17" i="3"/>
  <c r="T57" i="3"/>
  <c r="S58" i="3"/>
  <c r="G17" i="3" l="1"/>
  <c r="I17" i="3" s="1"/>
  <c r="Z61" i="3"/>
  <c r="AA61" i="3"/>
  <c r="P61" i="3"/>
  <c r="Q61" i="3" s="1"/>
  <c r="R61" i="3" s="1"/>
  <c r="AD61" i="3"/>
  <c r="AC61" i="3"/>
  <c r="A62" i="3"/>
  <c r="B62" i="3" s="1"/>
  <c r="T58" i="3"/>
  <c r="S59" i="3"/>
  <c r="V17" i="3"/>
  <c r="AE17" i="3"/>
  <c r="J17" i="3" l="1"/>
  <c r="L17" i="3" s="1"/>
  <c r="M17" i="3"/>
  <c r="N17" i="3" s="1"/>
  <c r="Z62" i="3"/>
  <c r="AC62" i="3"/>
  <c r="AD62" i="3"/>
  <c r="A63" i="3"/>
  <c r="B63" i="3" s="1"/>
  <c r="P62" i="3"/>
  <c r="Q62" i="3" s="1"/>
  <c r="R62" i="3" s="1"/>
  <c r="AA62" i="3"/>
  <c r="W17" i="3"/>
  <c r="S60" i="3"/>
  <c r="T59" i="3"/>
  <c r="A64" i="3" l="1"/>
  <c r="B64" i="3" s="1"/>
  <c r="AD63" i="3"/>
  <c r="AC63" i="3"/>
  <c r="Z63" i="3"/>
  <c r="AA63" i="3"/>
  <c r="P63" i="3"/>
  <c r="Q63" i="3" s="1"/>
  <c r="R63" i="3" s="1"/>
  <c r="AH18" i="3"/>
  <c r="AG18" i="3"/>
  <c r="U17" i="3"/>
  <c r="E18" i="3" s="1"/>
  <c r="H18" i="3" s="1"/>
  <c r="Y16" i="3"/>
  <c r="S61" i="3"/>
  <c r="T60" i="3"/>
  <c r="D18" i="3" l="1"/>
  <c r="G18" i="3" s="1"/>
  <c r="T61" i="3"/>
  <c r="S62" i="3"/>
  <c r="K18" i="3"/>
  <c r="P64" i="3"/>
  <c r="Q64" i="3" s="1"/>
  <c r="R64" i="3" s="1"/>
  <c r="A65" i="3"/>
  <c r="B65" i="3" s="1"/>
  <c r="AA64" i="3"/>
  <c r="Z64" i="3"/>
  <c r="AC64" i="3"/>
  <c r="AD64" i="3"/>
  <c r="F18" i="3" l="1"/>
  <c r="V18" i="3"/>
  <c r="AE18" i="3"/>
  <c r="AC65" i="3"/>
  <c r="Z65" i="3"/>
  <c r="AA65" i="3"/>
  <c r="A66" i="3"/>
  <c r="B66" i="3" s="1"/>
  <c r="P65" i="3"/>
  <c r="Q65" i="3" s="1"/>
  <c r="R65" i="3" s="1"/>
  <c r="AD65" i="3"/>
  <c r="S63" i="3"/>
  <c r="T62" i="3"/>
  <c r="I18" i="3"/>
  <c r="J18" i="3"/>
  <c r="M18" i="3"/>
  <c r="N18" i="3" s="1"/>
  <c r="A67" i="3" l="1"/>
  <c r="B67" i="3" s="1"/>
  <c r="AA66" i="3"/>
  <c r="Z66" i="3"/>
  <c r="AD66" i="3"/>
  <c r="P66" i="3"/>
  <c r="Q66" i="3" s="1"/>
  <c r="R66" i="3" s="1"/>
  <c r="AC66" i="3"/>
  <c r="W18" i="3"/>
  <c r="S64" i="3"/>
  <c r="T63" i="3"/>
  <c r="L18" i="3"/>
  <c r="A68" i="3" l="1"/>
  <c r="B68" i="3" s="1"/>
  <c r="AA67" i="3"/>
  <c r="AD67" i="3"/>
  <c r="AC67" i="3"/>
  <c r="Z67" i="3"/>
  <c r="P67" i="3"/>
  <c r="Q67" i="3" s="1"/>
  <c r="R67" i="3" s="1"/>
  <c r="AG19" i="3"/>
  <c r="U18" i="3"/>
  <c r="D19" i="3" s="1"/>
  <c r="AH19" i="3"/>
  <c r="Y17" i="3"/>
  <c r="T64" i="3"/>
  <c r="S65" i="3"/>
  <c r="E19" i="3" l="1"/>
  <c r="H19" i="3" s="1"/>
  <c r="K19" i="3" s="1"/>
  <c r="Z68" i="3"/>
  <c r="A69" i="3"/>
  <c r="B69" i="3" s="1"/>
  <c r="AC68" i="3"/>
  <c r="AD68" i="3"/>
  <c r="AA68" i="3"/>
  <c r="P68" i="3"/>
  <c r="Q68" i="3" s="1"/>
  <c r="R68" i="3" s="1"/>
  <c r="G19" i="3"/>
  <c r="T65" i="3"/>
  <c r="S66" i="3"/>
  <c r="F19" i="3" l="1"/>
  <c r="S67" i="3"/>
  <c r="T66" i="3"/>
  <c r="I19" i="3"/>
  <c r="J19" i="3"/>
  <c r="M19" i="3"/>
  <c r="N19" i="3" s="1"/>
  <c r="V19" i="3"/>
  <c r="AE19" i="3"/>
  <c r="A70" i="3"/>
  <c r="B70" i="3" s="1"/>
  <c r="AC69" i="3"/>
  <c r="AA69" i="3"/>
  <c r="Z69" i="3"/>
  <c r="P69" i="3"/>
  <c r="Q69" i="3" s="1"/>
  <c r="R69" i="3" s="1"/>
  <c r="AD69" i="3"/>
  <c r="W19" i="3" l="1"/>
  <c r="AA70" i="3"/>
  <c r="A71" i="3"/>
  <c r="B71" i="3" s="1"/>
  <c r="AD70" i="3"/>
  <c r="AC70" i="3"/>
  <c r="P70" i="3"/>
  <c r="Q70" i="3" s="1"/>
  <c r="R70" i="3" s="1"/>
  <c r="Z70" i="3"/>
  <c r="L19" i="3"/>
  <c r="S68" i="3"/>
  <c r="T67" i="3"/>
  <c r="P71" i="3" l="1"/>
  <c r="Q71" i="3" s="1"/>
  <c r="R71" i="3" s="1"/>
  <c r="A72" i="3"/>
  <c r="B72" i="3" s="1"/>
  <c r="Z71" i="3"/>
  <c r="AC71" i="3"/>
  <c r="AD71" i="3"/>
  <c r="AA71" i="3"/>
  <c r="AH20" i="3"/>
  <c r="U19" i="3"/>
  <c r="E20" i="3" s="1"/>
  <c r="H20" i="3" s="1"/>
  <c r="AG20" i="3"/>
  <c r="Y18" i="3"/>
  <c r="S69" i="3"/>
  <c r="T68" i="3"/>
  <c r="K20" i="3" l="1"/>
  <c r="S70" i="3"/>
  <c r="T69" i="3"/>
  <c r="D20" i="3"/>
  <c r="P72" i="3"/>
  <c r="Q72" i="3" s="1"/>
  <c r="R72" i="3" s="1"/>
  <c r="AD72" i="3"/>
  <c r="AC72" i="3"/>
  <c r="Z72" i="3"/>
  <c r="AA72" i="3"/>
  <c r="A73" i="3"/>
  <c r="B73" i="3" s="1"/>
  <c r="Z73" i="3" l="1"/>
  <c r="AD73" i="3"/>
  <c r="AC73" i="3"/>
  <c r="P73" i="3"/>
  <c r="Q73" i="3" s="1"/>
  <c r="R73" i="3" s="1"/>
  <c r="A74" i="3"/>
  <c r="B74" i="3" s="1"/>
  <c r="AA73" i="3"/>
  <c r="F20" i="3"/>
  <c r="G20" i="3"/>
  <c r="T70" i="3"/>
  <c r="S71" i="3"/>
  <c r="V20" i="3"/>
  <c r="AE20" i="3"/>
  <c r="Z74" i="3" l="1"/>
  <c r="AD74" i="3"/>
  <c r="AC74" i="3"/>
  <c r="P74" i="3"/>
  <c r="Q74" i="3" s="1"/>
  <c r="R74" i="3" s="1"/>
  <c r="AA74" i="3"/>
  <c r="A75" i="3"/>
  <c r="B75" i="3" s="1"/>
  <c r="I20" i="3"/>
  <c r="W20" i="3" s="1"/>
  <c r="J20" i="3"/>
  <c r="M20" i="3"/>
  <c r="N20" i="3" s="1"/>
  <c r="T71" i="3"/>
  <c r="S72" i="3"/>
  <c r="AC75" i="3" l="1"/>
  <c r="P75" i="3"/>
  <c r="Q75" i="3" s="1"/>
  <c r="R75" i="3" s="1"/>
  <c r="AD75" i="3"/>
  <c r="Z75" i="3"/>
  <c r="A76" i="3"/>
  <c r="B76" i="3" s="1"/>
  <c r="AA75" i="3"/>
  <c r="S73" i="3"/>
  <c r="T72" i="3"/>
  <c r="L20" i="3"/>
  <c r="A77" i="3" l="1"/>
  <c r="B77" i="3" s="1"/>
  <c r="AD76" i="3"/>
  <c r="AC76" i="3"/>
  <c r="Z76" i="3"/>
  <c r="AA76" i="3"/>
  <c r="P76" i="3"/>
  <c r="Q76" i="3" s="1"/>
  <c r="R76" i="3" s="1"/>
  <c r="AG21" i="3"/>
  <c r="U20" i="3"/>
  <c r="E21" i="3" s="1"/>
  <c r="H21" i="3" s="1"/>
  <c r="AH21" i="3"/>
  <c r="Y19" i="3"/>
  <c r="S74" i="3"/>
  <c r="T73" i="3"/>
  <c r="K21" i="3" l="1"/>
  <c r="AD77" i="3"/>
  <c r="A78" i="3"/>
  <c r="B78" i="3" s="1"/>
  <c r="AC77" i="3"/>
  <c r="AA77" i="3"/>
  <c r="Z77" i="3"/>
  <c r="P77" i="3"/>
  <c r="Q77" i="3" s="1"/>
  <c r="R77" i="3" s="1"/>
  <c r="T74" i="3"/>
  <c r="S75" i="3"/>
  <c r="D21" i="3"/>
  <c r="AD78" i="3" l="1"/>
  <c r="P78" i="3"/>
  <c r="Q78" i="3" s="1"/>
  <c r="R78" i="3" s="1"/>
  <c r="Z78" i="3"/>
  <c r="A79" i="3"/>
  <c r="B79" i="3" s="1"/>
  <c r="AC78" i="3"/>
  <c r="AA78" i="3"/>
  <c r="S76" i="3"/>
  <c r="T75" i="3"/>
  <c r="V21" i="3"/>
  <c r="AE21" i="3"/>
  <c r="F21" i="3"/>
  <c r="G21" i="3"/>
  <c r="I21" i="3" l="1"/>
  <c r="W21" i="3" s="1"/>
  <c r="J21" i="3"/>
  <c r="M21" i="3"/>
  <c r="N21" i="3" s="1"/>
  <c r="P79" i="3"/>
  <c r="Q79" i="3" s="1"/>
  <c r="R79" i="3" s="1"/>
  <c r="A80" i="3"/>
  <c r="B80" i="3" s="1"/>
  <c r="AA79" i="3"/>
  <c r="AD79" i="3"/>
  <c r="Z79" i="3"/>
  <c r="AC79" i="3"/>
  <c r="S77" i="3"/>
  <c r="T76" i="3"/>
  <c r="P80" i="3" l="1"/>
  <c r="Q80" i="3" s="1"/>
  <c r="R80" i="3" s="1"/>
  <c r="AA80" i="3"/>
  <c r="Z80" i="3"/>
  <c r="AC80" i="3"/>
  <c r="A81" i="3"/>
  <c r="B81" i="3" s="1"/>
  <c r="AD80" i="3"/>
  <c r="T77" i="3"/>
  <c r="S78" i="3"/>
  <c r="L21" i="3"/>
  <c r="AC81" i="3" l="1"/>
  <c r="A82" i="3"/>
  <c r="B82" i="3" s="1"/>
  <c r="AA81" i="3"/>
  <c r="P81" i="3"/>
  <c r="Q81" i="3" s="1"/>
  <c r="R81" i="3" s="1"/>
  <c r="Z81" i="3"/>
  <c r="AD81" i="3"/>
  <c r="AG22" i="3"/>
  <c r="U21" i="3"/>
  <c r="D22" i="3" s="1"/>
  <c r="AH22" i="3"/>
  <c r="Y20" i="3"/>
  <c r="T78" i="3"/>
  <c r="S79" i="3"/>
  <c r="E22" i="3" l="1"/>
  <c r="H22" i="3" s="1"/>
  <c r="K22" i="3" s="1"/>
  <c r="G22" i="3"/>
  <c r="S80" i="3"/>
  <c r="T79" i="3"/>
  <c r="Z82" i="3"/>
  <c r="A83" i="3"/>
  <c r="B83" i="3" s="1"/>
  <c r="AD82" i="3"/>
  <c r="P82" i="3"/>
  <c r="Q82" i="3" s="1"/>
  <c r="R82" i="3" s="1"/>
  <c r="AC82" i="3"/>
  <c r="AA82" i="3"/>
  <c r="F22" i="3" l="1"/>
  <c r="V22" i="3"/>
  <c r="AE22" i="3"/>
  <c r="AD83" i="3"/>
  <c r="AC83" i="3"/>
  <c r="P83" i="3"/>
  <c r="Q83" i="3" s="1"/>
  <c r="R83" i="3" s="1"/>
  <c r="Z83" i="3"/>
  <c r="AA83" i="3"/>
  <c r="A84" i="3"/>
  <c r="B84" i="3" s="1"/>
  <c r="T80" i="3"/>
  <c r="S81" i="3"/>
  <c r="I22" i="3"/>
  <c r="J22" i="3"/>
  <c r="M22" i="3"/>
  <c r="N22" i="3" s="1"/>
  <c r="T81" i="3" l="1"/>
  <c r="S82" i="3"/>
  <c r="AA84" i="3"/>
  <c r="AC84" i="3"/>
  <c r="Z84" i="3"/>
  <c r="AD84" i="3"/>
  <c r="P84" i="3"/>
  <c r="Q84" i="3" s="1"/>
  <c r="R84" i="3" s="1"/>
  <c r="A85" i="3"/>
  <c r="B85" i="3" s="1"/>
  <c r="W22" i="3"/>
  <c r="L22" i="3"/>
  <c r="AC85" i="3" l="1"/>
  <c r="AD85" i="3"/>
  <c r="P85" i="3"/>
  <c r="Q85" i="3" s="1"/>
  <c r="R85" i="3" s="1"/>
  <c r="A86" i="3"/>
  <c r="B86" i="3" s="1"/>
  <c r="AA85" i="3"/>
  <c r="Z85" i="3"/>
  <c r="T82" i="3"/>
  <c r="S83" i="3"/>
  <c r="AH23" i="3"/>
  <c r="AG23" i="3"/>
  <c r="U22" i="3"/>
  <c r="E23" i="3" s="1"/>
  <c r="H23" i="3" s="1"/>
  <c r="Y21" i="3"/>
  <c r="D23" i="3" l="1"/>
  <c r="G23" i="3" s="1"/>
  <c r="K23" i="3"/>
  <c r="Z86" i="3"/>
  <c r="P86" i="3"/>
  <c r="Q86" i="3" s="1"/>
  <c r="R86" i="3" s="1"/>
  <c r="AA86" i="3"/>
  <c r="A87" i="3"/>
  <c r="B87" i="3" s="1"/>
  <c r="AC86" i="3"/>
  <c r="AD86" i="3"/>
  <c r="S84" i="3"/>
  <c r="T83" i="3"/>
  <c r="F23" i="3" l="1"/>
  <c r="AD87" i="3"/>
  <c r="P87" i="3"/>
  <c r="Q87" i="3" s="1"/>
  <c r="R87" i="3" s="1"/>
  <c r="AA87" i="3"/>
  <c r="Z87" i="3"/>
  <c r="A88" i="3"/>
  <c r="B88" i="3" s="1"/>
  <c r="AC87" i="3"/>
  <c r="S85" i="3"/>
  <c r="T84" i="3"/>
  <c r="V23" i="3"/>
  <c r="AE23" i="3"/>
  <c r="I23" i="3"/>
  <c r="J23" i="3"/>
  <c r="M23" i="3"/>
  <c r="N23" i="3" s="1"/>
  <c r="P88" i="3" l="1"/>
  <c r="Q88" i="3" s="1"/>
  <c r="R88" i="3" s="1"/>
  <c r="AC88" i="3"/>
  <c r="A89" i="3"/>
  <c r="B89" i="3" s="1"/>
  <c r="Z88" i="3"/>
  <c r="AD88" i="3"/>
  <c r="AA88" i="3"/>
  <c r="W23" i="3"/>
  <c r="L23" i="3"/>
  <c r="T85" i="3"/>
  <c r="S86" i="3"/>
  <c r="U23" i="3" l="1"/>
  <c r="E24" i="3" s="1"/>
  <c r="H24" i="3" s="1"/>
  <c r="AG24" i="3"/>
  <c r="AH24" i="3"/>
  <c r="Y22" i="3"/>
  <c r="T86" i="3"/>
  <c r="S87" i="3"/>
  <c r="Z89" i="3"/>
  <c r="AA89" i="3"/>
  <c r="AD89" i="3"/>
  <c r="AC89" i="3"/>
  <c r="A90" i="3"/>
  <c r="B90" i="3" s="1"/>
  <c r="P89" i="3"/>
  <c r="Q89" i="3" s="1"/>
  <c r="R89" i="3" s="1"/>
  <c r="D24" i="3" l="1"/>
  <c r="G24" i="3" s="1"/>
  <c r="AC90" i="3"/>
  <c r="AA90" i="3"/>
  <c r="Z90" i="3"/>
  <c r="AD90" i="3"/>
  <c r="A91" i="3"/>
  <c r="B91" i="3" s="1"/>
  <c r="P90" i="3"/>
  <c r="Q90" i="3" s="1"/>
  <c r="R90" i="3" s="1"/>
  <c r="K24" i="3"/>
  <c r="T87" i="3"/>
  <c r="S88" i="3"/>
  <c r="F24" i="3" l="1"/>
  <c r="P91" i="3"/>
  <c r="Q91" i="3" s="1"/>
  <c r="R91" i="3" s="1"/>
  <c r="AD91" i="3"/>
  <c r="AA91" i="3"/>
  <c r="A92" i="3"/>
  <c r="B92" i="3" s="1"/>
  <c r="AC91" i="3"/>
  <c r="Z91" i="3"/>
  <c r="T88" i="3"/>
  <c r="S89" i="3"/>
  <c r="I24" i="3"/>
  <c r="J24" i="3"/>
  <c r="M24" i="3"/>
  <c r="N24" i="3" s="1"/>
  <c r="V24" i="3"/>
  <c r="AE24" i="3"/>
  <c r="W24" i="3" l="1"/>
  <c r="P92" i="3"/>
  <c r="Q92" i="3" s="1"/>
  <c r="R92" i="3" s="1"/>
  <c r="A93" i="3"/>
  <c r="B93" i="3" s="1"/>
  <c r="AC92" i="3"/>
  <c r="Z92" i="3"/>
  <c r="AA92" i="3"/>
  <c r="AD92" i="3"/>
  <c r="L24" i="3"/>
  <c r="S90" i="3"/>
  <c r="T89" i="3"/>
  <c r="A94" i="3" l="1"/>
  <c r="B94" i="3" s="1"/>
  <c r="AD93" i="3"/>
  <c r="Z93" i="3"/>
  <c r="AC93" i="3"/>
  <c r="P93" i="3"/>
  <c r="Q93" i="3" s="1"/>
  <c r="R93" i="3" s="1"/>
  <c r="AA93" i="3"/>
  <c r="AH25" i="3"/>
  <c r="U24" i="3"/>
  <c r="D25" i="3" s="1"/>
  <c r="AG25" i="3"/>
  <c r="Y23" i="3"/>
  <c r="S91" i="3"/>
  <c r="T90" i="3"/>
  <c r="E25" i="3" l="1"/>
  <c r="H25" i="3" s="1"/>
  <c r="K25" i="3" s="1"/>
  <c r="P94" i="3"/>
  <c r="Q94" i="3" s="1"/>
  <c r="R94" i="3" s="1"/>
  <c r="AC94" i="3"/>
  <c r="Z94" i="3"/>
  <c r="A95" i="3"/>
  <c r="B95" i="3" s="1"/>
  <c r="AA94" i="3"/>
  <c r="AD94" i="3"/>
  <c r="T91" i="3"/>
  <c r="S92" i="3"/>
  <c r="G25" i="3"/>
  <c r="F25" i="3" l="1"/>
  <c r="P95" i="3"/>
  <c r="Q95" i="3" s="1"/>
  <c r="R95" i="3" s="1"/>
  <c r="AA95" i="3"/>
  <c r="Z95" i="3"/>
  <c r="AC95" i="3"/>
  <c r="AD95" i="3"/>
  <c r="A96" i="3"/>
  <c r="B96" i="3" s="1"/>
  <c r="V25" i="3"/>
  <c r="AE25" i="3"/>
  <c r="I25" i="3"/>
  <c r="J25" i="3"/>
  <c r="M25" i="3"/>
  <c r="N25" i="3" s="1"/>
  <c r="S93" i="3"/>
  <c r="T92" i="3"/>
  <c r="A97" i="3" l="1"/>
  <c r="B97" i="3" s="1"/>
  <c r="P96" i="3"/>
  <c r="Q96" i="3" s="1"/>
  <c r="R96" i="3" s="1"/>
  <c r="AD96" i="3"/>
  <c r="Z96" i="3"/>
  <c r="AC96" i="3"/>
  <c r="AA96" i="3"/>
  <c r="L25" i="3"/>
  <c r="W25" i="3"/>
  <c r="T93" i="3"/>
  <c r="S94" i="3"/>
  <c r="Z97" i="3" l="1"/>
  <c r="AC97" i="3"/>
  <c r="AD97" i="3"/>
  <c r="AA97" i="3"/>
  <c r="A98" i="3"/>
  <c r="B98" i="3" s="1"/>
  <c r="P97" i="3"/>
  <c r="Q97" i="3" s="1"/>
  <c r="R97" i="3" s="1"/>
  <c r="AH26" i="3"/>
  <c r="AG26" i="3"/>
  <c r="U25" i="3"/>
  <c r="E26" i="3" s="1"/>
  <c r="H26" i="3" s="1"/>
  <c r="Y24" i="3"/>
  <c r="T94" i="3"/>
  <c r="S95" i="3"/>
  <c r="D26" i="3" l="1"/>
  <c r="G26" i="3" s="1"/>
  <c r="AA98" i="3"/>
  <c r="AD98" i="3"/>
  <c r="P98" i="3"/>
  <c r="Q98" i="3" s="1"/>
  <c r="R98" i="3" s="1"/>
  <c r="A99" i="3"/>
  <c r="B99" i="3" s="1"/>
  <c r="Z98" i="3"/>
  <c r="AC98" i="3"/>
  <c r="K26" i="3"/>
  <c r="S96" i="3"/>
  <c r="T95" i="3"/>
  <c r="F26" i="3" l="1"/>
  <c r="Z99" i="3"/>
  <c r="A100" i="3"/>
  <c r="B100" i="3" s="1"/>
  <c r="P99" i="3"/>
  <c r="Q99" i="3" s="1"/>
  <c r="R99" i="3" s="1"/>
  <c r="AC99" i="3"/>
  <c r="AA99" i="3"/>
  <c r="AD99" i="3"/>
  <c r="I26" i="3"/>
  <c r="J26" i="3"/>
  <c r="M26" i="3"/>
  <c r="N26" i="3" s="1"/>
  <c r="T96" i="3"/>
  <c r="S97" i="3"/>
  <c r="V26" i="3"/>
  <c r="AE26" i="3"/>
  <c r="W26" i="3" l="1"/>
  <c r="AC100" i="3"/>
  <c r="AA100" i="3"/>
  <c r="Z100" i="3"/>
  <c r="AD100" i="3"/>
  <c r="P100" i="3"/>
  <c r="Q100" i="3" s="1"/>
  <c r="R100" i="3" s="1"/>
  <c r="A101" i="3"/>
  <c r="B101" i="3" s="1"/>
  <c r="S98" i="3"/>
  <c r="T97" i="3"/>
  <c r="L26" i="3"/>
  <c r="AC101" i="3" l="1"/>
  <c r="Z101" i="3"/>
  <c r="P101" i="3"/>
  <c r="Q101" i="3" s="1"/>
  <c r="R101" i="3" s="1"/>
  <c r="A102" i="3"/>
  <c r="B102" i="3" s="1"/>
  <c r="AA101" i="3"/>
  <c r="AD101" i="3"/>
  <c r="AG27" i="3"/>
  <c r="AH27" i="3"/>
  <c r="U26" i="3"/>
  <c r="D27" i="3" s="1"/>
  <c r="Y25" i="3"/>
  <c r="T98" i="3"/>
  <c r="S99" i="3"/>
  <c r="E27" i="3" l="1"/>
  <c r="H27" i="3" s="1"/>
  <c r="K27" i="3" s="1"/>
  <c r="AD102" i="3"/>
  <c r="P102" i="3"/>
  <c r="Q102" i="3" s="1"/>
  <c r="R102" i="3" s="1"/>
  <c r="A103" i="3"/>
  <c r="B103" i="3" s="1"/>
  <c r="Z102" i="3"/>
  <c r="AC102" i="3"/>
  <c r="AA102" i="3"/>
  <c r="G27" i="3"/>
  <c r="S100" i="3"/>
  <c r="T99" i="3"/>
  <c r="F27" i="3" l="1"/>
  <c r="T100" i="3"/>
  <c r="S101" i="3"/>
  <c r="AD103" i="3"/>
  <c r="A104" i="3"/>
  <c r="B104" i="3" s="1"/>
  <c r="Z103" i="3"/>
  <c r="P103" i="3"/>
  <c r="Q103" i="3" s="1"/>
  <c r="R103" i="3" s="1"/>
  <c r="AA103" i="3"/>
  <c r="AC103" i="3"/>
  <c r="I27" i="3"/>
  <c r="J27" i="3"/>
  <c r="M27" i="3"/>
  <c r="N27" i="3" s="1"/>
  <c r="V27" i="3"/>
  <c r="AE27" i="3"/>
  <c r="W27" i="3" l="1"/>
  <c r="AA104" i="3"/>
  <c r="P104" i="3"/>
  <c r="Q104" i="3" s="1"/>
  <c r="R104" i="3" s="1"/>
  <c r="A105" i="3"/>
  <c r="B105" i="3" s="1"/>
  <c r="Z104" i="3"/>
  <c r="AC104" i="3"/>
  <c r="L27" i="3"/>
  <c r="S102" i="3"/>
  <c r="T101" i="3"/>
  <c r="A106" i="3" l="1"/>
  <c r="B106" i="3" s="1"/>
  <c r="AC105" i="3"/>
  <c r="Z105" i="3"/>
  <c r="P105" i="3"/>
  <c r="Q105" i="3" s="1"/>
  <c r="R105" i="3" s="1"/>
  <c r="AD105" i="3"/>
  <c r="AA105" i="3"/>
  <c r="S103" i="3"/>
  <c r="T102" i="3"/>
  <c r="U27" i="3"/>
  <c r="E28" i="3" s="1"/>
  <c r="H28" i="3" s="1"/>
  <c r="AG28" i="3"/>
  <c r="AH28" i="3"/>
  <c r="Y26" i="3"/>
  <c r="D28" i="3" l="1"/>
  <c r="F28" i="3" s="1"/>
  <c r="AA106" i="3"/>
  <c r="AC106" i="3"/>
  <c r="P106" i="3"/>
  <c r="Q106" i="3" s="1"/>
  <c r="R106" i="3" s="1"/>
  <c r="A107" i="3"/>
  <c r="B107" i="3" s="1"/>
  <c r="AD106" i="3"/>
  <c r="Z106" i="3"/>
  <c r="K28" i="3"/>
  <c r="S104" i="3"/>
  <c r="T103" i="3"/>
  <c r="G28" i="3" l="1"/>
  <c r="M28" i="3" s="1"/>
  <c r="N28" i="3" s="1"/>
  <c r="AD107" i="3"/>
  <c r="AC107" i="3"/>
  <c r="P107" i="3"/>
  <c r="Q107" i="3" s="1"/>
  <c r="R107" i="3" s="1"/>
  <c r="Z107" i="3"/>
  <c r="AA107" i="3"/>
  <c r="A108" i="3"/>
  <c r="B108" i="3" s="1"/>
  <c r="T104" i="3"/>
  <c r="S105" i="3"/>
  <c r="V28" i="3"/>
  <c r="AE28" i="3"/>
  <c r="J28" i="3" l="1"/>
  <c r="L28" i="3" s="1"/>
  <c r="I28" i="3"/>
  <c r="W28" i="3" s="1"/>
  <c r="S106" i="3"/>
  <c r="T105" i="3"/>
  <c r="Z108" i="3"/>
  <c r="AC108" i="3"/>
  <c r="P108" i="3"/>
  <c r="Q108" i="3" s="1"/>
  <c r="R108" i="3" s="1"/>
  <c r="AA108" i="3"/>
  <c r="A109" i="3"/>
  <c r="B109" i="3" s="1"/>
  <c r="AD108" i="3"/>
  <c r="A110" i="3" l="1"/>
  <c r="B110" i="3" s="1"/>
  <c r="AD109" i="3"/>
  <c r="AA109" i="3"/>
  <c r="P109" i="3"/>
  <c r="Q109" i="3" s="1"/>
  <c r="R109" i="3" s="1"/>
  <c r="Z109" i="3"/>
  <c r="AC109" i="3"/>
  <c r="U28" i="3"/>
  <c r="E29" i="3" s="1"/>
  <c r="H29" i="3" s="1"/>
  <c r="AG29" i="3"/>
  <c r="AH29" i="3"/>
  <c r="Y27" i="3"/>
  <c r="T106" i="3"/>
  <c r="S107" i="3"/>
  <c r="D29" i="3" l="1"/>
  <c r="F29" i="3" s="1"/>
  <c r="K29" i="3"/>
  <c r="AA110" i="3"/>
  <c r="AC110" i="3"/>
  <c r="A111" i="3"/>
  <c r="B111" i="3" s="1"/>
  <c r="P110" i="3"/>
  <c r="Q110" i="3" s="1"/>
  <c r="R110" i="3" s="1"/>
  <c r="AD110" i="3"/>
  <c r="Z110" i="3"/>
  <c r="T107" i="3"/>
  <c r="S108" i="3"/>
  <c r="G29" i="3" l="1"/>
  <c r="I29" i="3" s="1"/>
  <c r="AD111" i="3"/>
  <c r="Z111" i="3"/>
  <c r="A112" i="3"/>
  <c r="B112" i="3" s="1"/>
  <c r="AC111" i="3"/>
  <c r="P111" i="3"/>
  <c r="Q111" i="3" s="1"/>
  <c r="R111" i="3" s="1"/>
  <c r="AA111" i="3"/>
  <c r="V29" i="3"/>
  <c r="AE29" i="3"/>
  <c r="S109" i="3"/>
  <c r="T108" i="3"/>
  <c r="M29" i="3" l="1"/>
  <c r="N29" i="3" s="1"/>
  <c r="J29" i="3"/>
  <c r="L29" i="3" s="1"/>
  <c r="AC112" i="3"/>
  <c r="AA112" i="3"/>
  <c r="AD112" i="3"/>
  <c r="Z112" i="3"/>
  <c r="P112" i="3"/>
  <c r="Q112" i="3" s="1"/>
  <c r="R112" i="3" s="1"/>
  <c r="A113" i="3"/>
  <c r="B113" i="3" s="1"/>
  <c r="S110" i="3"/>
  <c r="T109" i="3"/>
  <c r="W29" i="3"/>
  <c r="P113" i="3" l="1"/>
  <c r="Q113" i="3" s="1"/>
  <c r="R113" i="3" s="1"/>
  <c r="AA113" i="3"/>
  <c r="A114" i="3"/>
  <c r="B114" i="3" s="1"/>
  <c r="AD113" i="3"/>
  <c r="AC113" i="3"/>
  <c r="Z113" i="3"/>
  <c r="S111" i="3"/>
  <c r="T110" i="3"/>
  <c r="AG30" i="3"/>
  <c r="AH30" i="3"/>
  <c r="U29" i="3"/>
  <c r="D30" i="3" s="1"/>
  <c r="Y28" i="3"/>
  <c r="E30" i="3" l="1"/>
  <c r="H30" i="3" s="1"/>
  <c r="K30" i="3" s="1"/>
  <c r="G30" i="3"/>
  <c r="P114" i="3"/>
  <c r="Q114" i="3" s="1"/>
  <c r="R114" i="3" s="1"/>
  <c r="AD114" i="3"/>
  <c r="AA114" i="3"/>
  <c r="Z114" i="3"/>
  <c r="AC114" i="3"/>
  <c r="A115" i="3"/>
  <c r="B115" i="3" s="1"/>
  <c r="S112" i="3"/>
  <c r="T111" i="3"/>
  <c r="F30" i="3" l="1"/>
  <c r="AC115" i="3"/>
  <c r="AA115" i="3"/>
  <c r="AD115" i="3"/>
  <c r="P115" i="3"/>
  <c r="Q115" i="3" s="1"/>
  <c r="R115" i="3" s="1"/>
  <c r="Z115" i="3"/>
  <c r="A116" i="3"/>
  <c r="B116" i="3" s="1"/>
  <c r="T112" i="3"/>
  <c r="S113" i="3"/>
  <c r="V30" i="3"/>
  <c r="AE30" i="3"/>
  <c r="I30" i="3"/>
  <c r="J30" i="3"/>
  <c r="M30" i="3"/>
  <c r="N30" i="3" s="1"/>
  <c r="AA116" i="3" l="1"/>
  <c r="A117" i="3"/>
  <c r="B117" i="3" s="1"/>
  <c r="Z116" i="3"/>
  <c r="P116" i="3"/>
  <c r="Q116" i="3" s="1"/>
  <c r="R116" i="3" s="1"/>
  <c r="AC116" i="3"/>
  <c r="AD116" i="3"/>
  <c r="T113" i="3"/>
  <c r="S114" i="3"/>
  <c r="W30" i="3"/>
  <c r="L30" i="3"/>
  <c r="T114" i="3" l="1"/>
  <c r="S115" i="3"/>
  <c r="AH31" i="3"/>
  <c r="U30" i="3"/>
  <c r="D31" i="3" s="1"/>
  <c r="AG31" i="3"/>
  <c r="Y29" i="3"/>
  <c r="AC117" i="3"/>
  <c r="Z117" i="3"/>
  <c r="P117" i="3"/>
  <c r="Q117" i="3" s="1"/>
  <c r="R117" i="3" s="1"/>
  <c r="AD117" i="3"/>
  <c r="AA117" i="3"/>
  <c r="A118" i="3"/>
  <c r="B118" i="3" s="1"/>
  <c r="E31" i="3" l="1"/>
  <c r="H31" i="3" s="1"/>
  <c r="K31" i="3" s="1"/>
  <c r="AC118" i="3"/>
  <c r="Z118" i="3"/>
  <c r="AA118" i="3"/>
  <c r="AD118" i="3"/>
  <c r="A119" i="3"/>
  <c r="B119" i="3" s="1"/>
  <c r="P118" i="3"/>
  <c r="Q118" i="3" s="1"/>
  <c r="R118" i="3" s="1"/>
  <c r="G31" i="3"/>
  <c r="S116" i="3"/>
  <c r="T115" i="3"/>
  <c r="F31" i="3" l="1"/>
  <c r="A120" i="3"/>
  <c r="B120" i="3" s="1"/>
  <c r="AD119" i="3"/>
  <c r="AA119" i="3"/>
  <c r="AC119" i="3"/>
  <c r="Z119" i="3"/>
  <c r="P119" i="3"/>
  <c r="Q119" i="3" s="1"/>
  <c r="R119" i="3" s="1"/>
  <c r="S117" i="3"/>
  <c r="T116" i="3"/>
  <c r="V31" i="3"/>
  <c r="AE31" i="3"/>
  <c r="I31" i="3"/>
  <c r="J31" i="3"/>
  <c r="M31" i="3"/>
  <c r="N31" i="3" s="1"/>
  <c r="W31" i="3" l="1"/>
  <c r="AD120" i="3"/>
  <c r="A121" i="3"/>
  <c r="B121" i="3" s="1"/>
  <c r="AC120" i="3"/>
  <c r="P120" i="3"/>
  <c r="Q120" i="3" s="1"/>
  <c r="R120" i="3" s="1"/>
  <c r="AA120" i="3"/>
  <c r="Z120" i="3"/>
  <c r="L31" i="3"/>
  <c r="T117" i="3"/>
  <c r="S118" i="3"/>
  <c r="AH32" i="3" l="1"/>
  <c r="U31" i="3"/>
  <c r="D32" i="3" s="1"/>
  <c r="AG32" i="3"/>
  <c r="Y30" i="3"/>
  <c r="T118" i="3"/>
  <c r="S119" i="3"/>
  <c r="Z121" i="3"/>
  <c r="AD121" i="3"/>
  <c r="AA121" i="3"/>
  <c r="A122" i="3"/>
  <c r="B122" i="3" s="1"/>
  <c r="P121" i="3"/>
  <c r="Q121" i="3" s="1"/>
  <c r="R121" i="3" s="1"/>
  <c r="AC121" i="3"/>
  <c r="E32" i="3" l="1"/>
  <c r="H32" i="3" s="1"/>
  <c r="K32" i="3" s="1"/>
  <c r="G32" i="3"/>
  <c r="AC122" i="3"/>
  <c r="AD122" i="3"/>
  <c r="A123" i="3"/>
  <c r="B123" i="3" s="1"/>
  <c r="Z122" i="3"/>
  <c r="AA122" i="3"/>
  <c r="P122" i="3"/>
  <c r="Q122" i="3" s="1"/>
  <c r="R122" i="3" s="1"/>
  <c r="T119" i="3"/>
  <c r="S120" i="3"/>
  <c r="F32" i="3" l="1"/>
  <c r="V32" i="3"/>
  <c r="AE32" i="3"/>
  <c r="T120" i="3"/>
  <c r="S121" i="3"/>
  <c r="AC123" i="3"/>
  <c r="P123" i="3"/>
  <c r="Q123" i="3" s="1"/>
  <c r="R123" i="3" s="1"/>
  <c r="AD123" i="3"/>
  <c r="A124" i="3"/>
  <c r="B124" i="3" s="1"/>
  <c r="Z123" i="3"/>
  <c r="AA123" i="3"/>
  <c r="I32" i="3"/>
  <c r="J32" i="3"/>
  <c r="M32" i="3"/>
  <c r="N32" i="3" s="1"/>
  <c r="Z124" i="3" l="1"/>
  <c r="AD124" i="3"/>
  <c r="A125" i="3"/>
  <c r="B125" i="3" s="1"/>
  <c r="AC124" i="3"/>
  <c r="AA124" i="3"/>
  <c r="P124" i="3"/>
  <c r="Q124" i="3" s="1"/>
  <c r="R124" i="3" s="1"/>
  <c r="T121" i="3"/>
  <c r="S122" i="3"/>
  <c r="W32" i="3"/>
  <c r="L32" i="3"/>
  <c r="U32" i="3" l="1"/>
  <c r="E33" i="3" s="1"/>
  <c r="H33" i="3" s="1"/>
  <c r="AH33" i="3"/>
  <c r="AG33" i="3"/>
  <c r="Y31" i="3"/>
  <c r="AC125" i="3"/>
  <c r="Z125" i="3"/>
  <c r="P125" i="3"/>
  <c r="Q125" i="3" s="1"/>
  <c r="R125" i="3" s="1"/>
  <c r="AD125" i="3"/>
  <c r="AA125" i="3"/>
  <c r="A126" i="3"/>
  <c r="B126" i="3" s="1"/>
  <c r="S123" i="3"/>
  <c r="T122" i="3"/>
  <c r="D33" i="3" l="1"/>
  <c r="F33" i="3" s="1"/>
  <c r="Z126" i="3"/>
  <c r="AC126" i="3"/>
  <c r="A127" i="3"/>
  <c r="B127" i="3" s="1"/>
  <c r="P126" i="3"/>
  <c r="Q126" i="3" s="1"/>
  <c r="R126" i="3" s="1"/>
  <c r="AA126" i="3"/>
  <c r="AD126" i="3"/>
  <c r="S124" i="3"/>
  <c r="T123" i="3"/>
  <c r="K33" i="3"/>
  <c r="G33" i="3" l="1"/>
  <c r="I33" i="3" s="1"/>
  <c r="AD127" i="3"/>
  <c r="AC127" i="3"/>
  <c r="Z127" i="3"/>
  <c r="P127" i="3"/>
  <c r="Q127" i="3" s="1"/>
  <c r="R127" i="3" s="1"/>
  <c r="A128" i="3"/>
  <c r="B128" i="3" s="1"/>
  <c r="AA127" i="3"/>
  <c r="V33" i="3"/>
  <c r="AE33" i="3"/>
  <c r="S125" i="3"/>
  <c r="T124" i="3"/>
  <c r="M33" i="3" l="1"/>
  <c r="N33" i="3" s="1"/>
  <c r="J33" i="3"/>
  <c r="L33" i="3" s="1"/>
  <c r="W33" i="3"/>
  <c r="AC128" i="3"/>
  <c r="Z128" i="3"/>
  <c r="AD128" i="3"/>
  <c r="AA128" i="3"/>
  <c r="A129" i="3"/>
  <c r="B129" i="3" s="1"/>
  <c r="P128" i="3"/>
  <c r="Q128" i="3" s="1"/>
  <c r="R128" i="3" s="1"/>
  <c r="T125" i="3"/>
  <c r="S126" i="3"/>
  <c r="AD129" i="3" l="1"/>
  <c r="AA129" i="3"/>
  <c r="P129" i="3"/>
  <c r="Q129" i="3" s="1"/>
  <c r="R129" i="3" s="1"/>
  <c r="A130" i="3"/>
  <c r="B130" i="3" s="1"/>
  <c r="Z129" i="3"/>
  <c r="AC129" i="3"/>
  <c r="T126" i="3"/>
  <c r="S127" i="3"/>
  <c r="AH34" i="3"/>
  <c r="AG34" i="3"/>
  <c r="U33" i="3"/>
  <c r="E34" i="3" s="1"/>
  <c r="H34" i="3" s="1"/>
  <c r="Y32" i="3"/>
  <c r="D34" i="3" l="1"/>
  <c r="F34" i="3" s="1"/>
  <c r="AA130" i="3"/>
  <c r="Z130" i="3"/>
  <c r="A131" i="3"/>
  <c r="B131" i="3" s="1"/>
  <c r="P130" i="3"/>
  <c r="Q130" i="3" s="1"/>
  <c r="R130" i="3" s="1"/>
  <c r="AC130" i="3"/>
  <c r="AD130" i="3"/>
  <c r="K34" i="3"/>
  <c r="T127" i="3"/>
  <c r="S128" i="3"/>
  <c r="G34" i="3" l="1"/>
  <c r="I34" i="3" s="1"/>
  <c r="Z131" i="3"/>
  <c r="P131" i="3"/>
  <c r="Q131" i="3" s="1"/>
  <c r="R131" i="3" s="1"/>
  <c r="AC131" i="3"/>
  <c r="A132" i="3"/>
  <c r="B132" i="3" s="1"/>
  <c r="AD131" i="3"/>
  <c r="AA131" i="3"/>
  <c r="S129" i="3"/>
  <c r="T128" i="3"/>
  <c r="V34" i="3"/>
  <c r="AE34" i="3"/>
  <c r="M34" i="3" l="1"/>
  <c r="N34" i="3" s="1"/>
  <c r="J34" i="3"/>
  <c r="L34" i="3" s="1"/>
  <c r="W34" i="3"/>
  <c r="P132" i="3"/>
  <c r="Q132" i="3" s="1"/>
  <c r="R132" i="3" s="1"/>
  <c r="AD132" i="3"/>
  <c r="AC132" i="3"/>
  <c r="Z132" i="3"/>
  <c r="A133" i="3"/>
  <c r="B133" i="3" s="1"/>
  <c r="AA132" i="3"/>
  <c r="S130" i="3"/>
  <c r="T129" i="3"/>
  <c r="AC133" i="3" l="1"/>
  <c r="AD133" i="3"/>
  <c r="P133" i="3"/>
  <c r="Q133" i="3" s="1"/>
  <c r="R133" i="3" s="1"/>
  <c r="Z133" i="3"/>
  <c r="A134" i="3"/>
  <c r="B134" i="3" s="1"/>
  <c r="AA133" i="3"/>
  <c r="T130" i="3"/>
  <c r="S131" i="3"/>
  <c r="U34" i="3"/>
  <c r="E35" i="3" s="1"/>
  <c r="H35" i="3" s="1"/>
  <c r="AH35" i="3"/>
  <c r="AG35" i="3"/>
  <c r="Y33" i="3"/>
  <c r="D35" i="3" l="1"/>
  <c r="F35" i="3" s="1"/>
  <c r="AA134" i="3"/>
  <c r="AD134" i="3"/>
  <c r="A135" i="3"/>
  <c r="B135" i="3" s="1"/>
  <c r="Z134" i="3"/>
  <c r="AC134" i="3"/>
  <c r="P134" i="3"/>
  <c r="Q134" i="3" s="1"/>
  <c r="R134" i="3" s="1"/>
  <c r="K35" i="3"/>
  <c r="T131" i="3"/>
  <c r="S132" i="3"/>
  <c r="G35" i="3" l="1"/>
  <c r="M35" i="3" s="1"/>
  <c r="N35" i="3" s="1"/>
  <c r="AC135" i="3"/>
  <c r="Z135" i="3"/>
  <c r="P135" i="3"/>
  <c r="Q135" i="3" s="1"/>
  <c r="R135" i="3" s="1"/>
  <c r="AD135" i="3"/>
  <c r="A136" i="3"/>
  <c r="B136" i="3" s="1"/>
  <c r="AA135" i="3"/>
  <c r="T132" i="3"/>
  <c r="S133" i="3"/>
  <c r="V35" i="3"/>
  <c r="AE35" i="3"/>
  <c r="J35" i="3" l="1"/>
  <c r="L35" i="3" s="1"/>
  <c r="I35" i="3"/>
  <c r="W35" i="3" s="1"/>
  <c r="AA136" i="3"/>
  <c r="Z136" i="3"/>
  <c r="P136" i="3"/>
  <c r="Q136" i="3" s="1"/>
  <c r="R136" i="3" s="1"/>
  <c r="AD136" i="3"/>
  <c r="AC136" i="3"/>
  <c r="A137" i="3"/>
  <c r="B137" i="3" s="1"/>
  <c r="T133" i="3"/>
  <c r="S134" i="3"/>
  <c r="AA137" i="3" l="1"/>
  <c r="Z137" i="3"/>
  <c r="AD137" i="3"/>
  <c r="P137" i="3"/>
  <c r="Q137" i="3" s="1"/>
  <c r="R137" i="3" s="1"/>
  <c r="AC137" i="3"/>
  <c r="A138" i="3"/>
  <c r="B138" i="3" s="1"/>
  <c r="T134" i="3"/>
  <c r="S135" i="3"/>
  <c r="AG36" i="3"/>
  <c r="AH36" i="3"/>
  <c r="U35" i="3"/>
  <c r="E36" i="3" s="1"/>
  <c r="H36" i="3" s="1"/>
  <c r="Y34" i="3"/>
  <c r="D36" i="3" l="1"/>
  <c r="F36" i="3" s="1"/>
  <c r="K36" i="3"/>
  <c r="AA138" i="3"/>
  <c r="AC138" i="3"/>
  <c r="AD138" i="3"/>
  <c r="Z138" i="3"/>
  <c r="A139" i="3"/>
  <c r="B139" i="3" s="1"/>
  <c r="P138" i="3"/>
  <c r="Q138" i="3" s="1"/>
  <c r="R138" i="3" s="1"/>
  <c r="S136" i="3"/>
  <c r="T135" i="3"/>
  <c r="G36" i="3" l="1"/>
  <c r="I36" i="3" s="1"/>
  <c r="T136" i="3"/>
  <c r="S137" i="3"/>
  <c r="A140" i="3"/>
  <c r="B140" i="3" s="1"/>
  <c r="P139" i="3"/>
  <c r="Q139" i="3" s="1"/>
  <c r="R139" i="3" s="1"/>
  <c r="AD139" i="3"/>
  <c r="AC139" i="3"/>
  <c r="Z139" i="3"/>
  <c r="AA139" i="3"/>
  <c r="V36" i="3"/>
  <c r="AE36" i="3"/>
  <c r="M36" i="3" l="1"/>
  <c r="N36" i="3" s="1"/>
  <c r="J36" i="3"/>
  <c r="L36" i="3" s="1"/>
  <c r="W36" i="3"/>
  <c r="AC140" i="3"/>
  <c r="P140" i="3"/>
  <c r="Q140" i="3" s="1"/>
  <c r="R140" i="3" s="1"/>
  <c r="AA140" i="3"/>
  <c r="AD140" i="3"/>
  <c r="Z140" i="3"/>
  <c r="A141" i="3"/>
  <c r="B141" i="3" s="1"/>
  <c r="T137" i="3"/>
  <c r="S138" i="3"/>
  <c r="P141" i="3" l="1"/>
  <c r="Q141" i="3" s="1"/>
  <c r="R141" i="3" s="1"/>
  <c r="AD141" i="3"/>
  <c r="AC141" i="3"/>
  <c r="Z141" i="3"/>
  <c r="A142" i="3"/>
  <c r="B142" i="3" s="1"/>
  <c r="AA141" i="3"/>
  <c r="AH37" i="3"/>
  <c r="U36" i="3"/>
  <c r="E37" i="3" s="1"/>
  <c r="H37" i="3" s="1"/>
  <c r="AG37" i="3"/>
  <c r="Y35" i="3"/>
  <c r="T138" i="3"/>
  <c r="S139" i="3"/>
  <c r="D37" i="3" l="1"/>
  <c r="G37" i="3" s="1"/>
  <c r="AC142" i="3"/>
  <c r="AA142" i="3"/>
  <c r="AD142" i="3"/>
  <c r="Z142" i="3"/>
  <c r="P142" i="3"/>
  <c r="Q142" i="3" s="1"/>
  <c r="R142" i="3" s="1"/>
  <c r="A143" i="3"/>
  <c r="B143" i="3" s="1"/>
  <c r="K37" i="3"/>
  <c r="S140" i="3"/>
  <c r="T139" i="3"/>
  <c r="F37" i="3" l="1"/>
  <c r="AD143" i="3"/>
  <c r="AA143" i="3"/>
  <c r="Z143" i="3"/>
  <c r="A144" i="3"/>
  <c r="B144" i="3" s="1"/>
  <c r="P143" i="3"/>
  <c r="Q143" i="3" s="1"/>
  <c r="R143" i="3" s="1"/>
  <c r="AC143" i="3"/>
  <c r="S141" i="3"/>
  <c r="T140" i="3"/>
  <c r="I37" i="3"/>
  <c r="J37" i="3"/>
  <c r="M37" i="3"/>
  <c r="N37" i="3" s="1"/>
  <c r="V37" i="3"/>
  <c r="AE37" i="3"/>
  <c r="W37" i="3" l="1"/>
  <c r="AC144" i="3"/>
  <c r="AD144" i="3"/>
  <c r="P144" i="3"/>
  <c r="Q144" i="3" s="1"/>
  <c r="R144" i="3" s="1"/>
  <c r="Z144" i="3"/>
  <c r="AA144" i="3"/>
  <c r="A145" i="3"/>
  <c r="B145" i="3" s="1"/>
  <c r="L37" i="3"/>
  <c r="S142" i="3"/>
  <c r="T141" i="3"/>
  <c r="A146" i="3" l="1"/>
  <c r="B146" i="3" s="1"/>
  <c r="Z145" i="3"/>
  <c r="AA145" i="3"/>
  <c r="AC145" i="3"/>
  <c r="AD145" i="3"/>
  <c r="P145" i="3"/>
  <c r="Q145" i="3" s="1"/>
  <c r="R145" i="3" s="1"/>
  <c r="S143" i="3"/>
  <c r="T142" i="3"/>
  <c r="AG38" i="3"/>
  <c r="U37" i="3"/>
  <c r="D38" i="3" s="1"/>
  <c r="AH38" i="3"/>
  <c r="Y36" i="3"/>
  <c r="E38" i="3" l="1"/>
  <c r="H38" i="3" s="1"/>
  <c r="K38" i="3" s="1"/>
  <c r="G38" i="3"/>
  <c r="P146" i="3"/>
  <c r="Q146" i="3" s="1"/>
  <c r="R146" i="3" s="1"/>
  <c r="AA146" i="3"/>
  <c r="AC146" i="3"/>
  <c r="Z146" i="3"/>
  <c r="AD146" i="3"/>
  <c r="A147" i="3"/>
  <c r="B147" i="3" s="1"/>
  <c r="T143" i="3"/>
  <c r="S144" i="3"/>
  <c r="F38" i="3" l="1"/>
  <c r="T144" i="3"/>
  <c r="S145" i="3"/>
  <c r="V38" i="3"/>
  <c r="AE38" i="3"/>
  <c r="AD147" i="3"/>
  <c r="AA147" i="3"/>
  <c r="Z147" i="3"/>
  <c r="A148" i="3"/>
  <c r="B148" i="3" s="1"/>
  <c r="P147" i="3"/>
  <c r="Q147" i="3" s="1"/>
  <c r="R147" i="3" s="1"/>
  <c r="AC147" i="3"/>
  <c r="I38" i="3"/>
  <c r="J38" i="3"/>
  <c r="M38" i="3"/>
  <c r="N38" i="3" s="1"/>
  <c r="W38" i="3" l="1"/>
  <c r="P148" i="3"/>
  <c r="Q148" i="3" s="1"/>
  <c r="R148" i="3" s="1"/>
  <c r="AD148" i="3"/>
  <c r="A149" i="3"/>
  <c r="B149" i="3" s="1"/>
  <c r="Z148" i="3"/>
  <c r="AA148" i="3"/>
  <c r="AC148" i="3"/>
  <c r="S146" i="3"/>
  <c r="T145" i="3"/>
  <c r="L38" i="3"/>
  <c r="Z149" i="3" l="1"/>
  <c r="A150" i="3"/>
  <c r="B150" i="3" s="1"/>
  <c r="AD149" i="3"/>
  <c r="AA149" i="3"/>
  <c r="AC149" i="3"/>
  <c r="P149" i="3"/>
  <c r="Q149" i="3" s="1"/>
  <c r="R149" i="3" s="1"/>
  <c r="U38" i="3"/>
  <c r="D39" i="3" s="1"/>
  <c r="AG39" i="3"/>
  <c r="AH39" i="3"/>
  <c r="Y37" i="3"/>
  <c r="T146" i="3"/>
  <c r="S147" i="3"/>
  <c r="E39" i="3" l="1"/>
  <c r="H39" i="3" s="1"/>
  <c r="K39" i="3" s="1"/>
  <c r="P150" i="3"/>
  <c r="Q150" i="3" s="1"/>
  <c r="R150" i="3" s="1"/>
  <c r="AA150" i="3"/>
  <c r="AC150" i="3"/>
  <c r="A151" i="3"/>
  <c r="B151" i="3" s="1"/>
  <c r="AD150" i="3"/>
  <c r="Z150" i="3"/>
  <c r="G39" i="3"/>
  <c r="S148" i="3"/>
  <c r="T147" i="3"/>
  <c r="F39" i="3" l="1"/>
  <c r="P151" i="3"/>
  <c r="Q151" i="3" s="1"/>
  <c r="R151" i="3" s="1"/>
  <c r="AC151" i="3"/>
  <c r="AD151" i="3"/>
  <c r="AA151" i="3"/>
  <c r="Z151" i="3"/>
  <c r="A152" i="3"/>
  <c r="B152" i="3" s="1"/>
  <c r="I39" i="3"/>
  <c r="J39" i="3"/>
  <c r="M39" i="3"/>
  <c r="N39" i="3" s="1"/>
  <c r="V39" i="3"/>
  <c r="AE39" i="3"/>
  <c r="T148" i="3"/>
  <c r="S149" i="3"/>
  <c r="W39" i="3" l="1"/>
  <c r="P152" i="3"/>
  <c r="Q152" i="3" s="1"/>
  <c r="R152" i="3" s="1"/>
  <c r="AC152" i="3"/>
  <c r="AA152" i="3"/>
  <c r="AD152" i="3"/>
  <c r="A153" i="3"/>
  <c r="B153" i="3" s="1"/>
  <c r="Z152" i="3"/>
  <c r="L39" i="3"/>
  <c r="T149" i="3"/>
  <c r="S150" i="3"/>
  <c r="AC153" i="3" l="1"/>
  <c r="A154" i="3"/>
  <c r="B154" i="3" s="1"/>
  <c r="Z153" i="3"/>
  <c r="AD153" i="3"/>
  <c r="P153" i="3"/>
  <c r="Q153" i="3" s="1"/>
  <c r="R153" i="3" s="1"/>
  <c r="AA153" i="3"/>
  <c r="AH40" i="3"/>
  <c r="AG40" i="3"/>
  <c r="U39" i="3"/>
  <c r="E40" i="3" s="1"/>
  <c r="H40" i="3" s="1"/>
  <c r="Y38" i="3"/>
  <c r="S151" i="3"/>
  <c r="T150" i="3"/>
  <c r="D40" i="3" l="1"/>
  <c r="F40" i="3" s="1"/>
  <c r="K40" i="3"/>
  <c r="S152" i="3"/>
  <c r="T151" i="3"/>
  <c r="AC154" i="3"/>
  <c r="P154" i="3"/>
  <c r="Q154" i="3" s="1"/>
  <c r="R154" i="3" s="1"/>
  <c r="AA154" i="3"/>
  <c r="Z154" i="3"/>
  <c r="A155" i="3"/>
  <c r="B155" i="3" s="1"/>
  <c r="AD154" i="3"/>
  <c r="G40" i="3" l="1"/>
  <c r="M40" i="3" s="1"/>
  <c r="N40" i="3" s="1"/>
  <c r="A156" i="3"/>
  <c r="B156" i="3" s="1"/>
  <c r="AD155" i="3"/>
  <c r="P155" i="3"/>
  <c r="Q155" i="3" s="1"/>
  <c r="R155" i="3" s="1"/>
  <c r="AC155" i="3"/>
  <c r="AA155" i="3"/>
  <c r="Z155" i="3"/>
  <c r="T152" i="3"/>
  <c r="S153" i="3"/>
  <c r="V40" i="3"/>
  <c r="AE40" i="3"/>
  <c r="I40" i="3" l="1"/>
  <c r="W40" i="3" s="1"/>
  <c r="J40" i="3"/>
  <c r="L40" i="3" s="1"/>
  <c r="AC156" i="3"/>
  <c r="P156" i="3"/>
  <c r="Q156" i="3" s="1"/>
  <c r="R156" i="3" s="1"/>
  <c r="AD156" i="3"/>
  <c r="Z156" i="3"/>
  <c r="A157" i="3"/>
  <c r="B157" i="3" s="1"/>
  <c r="AA156" i="3"/>
  <c r="S154" i="3"/>
  <c r="T153" i="3"/>
  <c r="A158" i="3" l="1"/>
  <c r="B158" i="3" s="1"/>
  <c r="P157" i="3"/>
  <c r="Q157" i="3" s="1"/>
  <c r="R157" i="3" s="1"/>
  <c r="AD157" i="3"/>
  <c r="Z157" i="3"/>
  <c r="AC157" i="3"/>
  <c r="AA157" i="3"/>
  <c r="AG41" i="3"/>
  <c r="AH41" i="3"/>
  <c r="U40" i="3"/>
  <c r="D41" i="3" s="1"/>
  <c r="Y39" i="3"/>
  <c r="T154" i="3"/>
  <c r="S155" i="3"/>
  <c r="E41" i="3" l="1"/>
  <c r="H41" i="3" s="1"/>
  <c r="K41" i="3" s="1"/>
  <c r="G41" i="3"/>
  <c r="P158" i="3"/>
  <c r="Q158" i="3" s="1"/>
  <c r="R158" i="3" s="1"/>
  <c r="AD158" i="3"/>
  <c r="A159" i="3"/>
  <c r="B159" i="3" s="1"/>
  <c r="AA158" i="3"/>
  <c r="Z158" i="3"/>
  <c r="AC158" i="3"/>
  <c r="S156" i="3"/>
  <c r="T155" i="3"/>
  <c r="F41" i="3" l="1"/>
  <c r="AD159" i="3"/>
  <c r="Z159" i="3"/>
  <c r="AA159" i="3"/>
  <c r="P159" i="3"/>
  <c r="Q159" i="3" s="1"/>
  <c r="R159" i="3" s="1"/>
  <c r="A160" i="3"/>
  <c r="B160" i="3" s="1"/>
  <c r="AC159" i="3"/>
  <c r="S157" i="3"/>
  <c r="T156" i="3"/>
  <c r="V41" i="3"/>
  <c r="AE41" i="3"/>
  <c r="I41" i="3"/>
  <c r="J41" i="3"/>
  <c r="M41" i="3"/>
  <c r="N41" i="3" s="1"/>
  <c r="A161" i="3" l="1"/>
  <c r="B161" i="3" s="1"/>
  <c r="P160" i="3"/>
  <c r="Q160" i="3" s="1"/>
  <c r="R160" i="3" s="1"/>
  <c r="AA160" i="3"/>
  <c r="AC160" i="3"/>
  <c r="Z160" i="3"/>
  <c r="AD160" i="3"/>
  <c r="W41" i="3"/>
  <c r="L41" i="3"/>
  <c r="S158" i="3"/>
  <c r="T157" i="3"/>
  <c r="A162" i="3" l="1"/>
  <c r="B162" i="3" s="1"/>
  <c r="AA161" i="3"/>
  <c r="Z161" i="3"/>
  <c r="AC161" i="3"/>
  <c r="AD161" i="3"/>
  <c r="P161" i="3"/>
  <c r="Q161" i="3" s="1"/>
  <c r="R161" i="3" s="1"/>
  <c r="T158" i="3"/>
  <c r="S159" i="3"/>
  <c r="AH42" i="3"/>
  <c r="U41" i="3"/>
  <c r="E42" i="3" s="1"/>
  <c r="H42" i="3" s="1"/>
  <c r="AG42" i="3"/>
  <c r="Y40" i="3"/>
  <c r="D42" i="3" l="1"/>
  <c r="F42" i="3" s="1"/>
  <c r="K42" i="3"/>
  <c r="A163" i="3"/>
  <c r="B163" i="3" s="1"/>
  <c r="Z162" i="3"/>
  <c r="AD162" i="3"/>
  <c r="AC162" i="3"/>
  <c r="AA162" i="3"/>
  <c r="P162" i="3"/>
  <c r="Q162" i="3" s="1"/>
  <c r="R162" i="3" s="1"/>
  <c r="S160" i="3"/>
  <c r="T159" i="3"/>
  <c r="G42" i="3" l="1"/>
  <c r="M42" i="3" s="1"/>
  <c r="N42" i="3" s="1"/>
  <c r="T160" i="3"/>
  <c r="S161" i="3"/>
  <c r="P163" i="3"/>
  <c r="Q163" i="3" s="1"/>
  <c r="R163" i="3" s="1"/>
  <c r="AC163" i="3"/>
  <c r="A164" i="3"/>
  <c r="B164" i="3" s="1"/>
  <c r="AA163" i="3"/>
  <c r="AD163" i="3"/>
  <c r="Z163" i="3"/>
  <c r="V42" i="3"/>
  <c r="AE42" i="3"/>
  <c r="J42" i="3" l="1"/>
  <c r="L42" i="3" s="1"/>
  <c r="I42" i="3"/>
  <c r="W42" i="3" s="1"/>
  <c r="AD164" i="3"/>
  <c r="AA164" i="3"/>
  <c r="Z164" i="3"/>
  <c r="A165" i="3"/>
  <c r="B165" i="3" s="1"/>
  <c r="AC164" i="3"/>
  <c r="P164" i="3"/>
  <c r="Q164" i="3" s="1"/>
  <c r="R164" i="3" s="1"/>
  <c r="T161" i="3"/>
  <c r="S162" i="3"/>
  <c r="AD165" i="3" l="1"/>
  <c r="A166" i="3"/>
  <c r="B166" i="3" s="1"/>
  <c r="AA165" i="3"/>
  <c r="AC165" i="3"/>
  <c r="Z165" i="3"/>
  <c r="P165" i="3"/>
  <c r="Q165" i="3" s="1"/>
  <c r="R165" i="3" s="1"/>
  <c r="T162" i="3"/>
  <c r="S163" i="3"/>
  <c r="AG43" i="3"/>
  <c r="AH43" i="3"/>
  <c r="U42" i="3"/>
  <c r="D43" i="3" s="1"/>
  <c r="Y41" i="3"/>
  <c r="E43" i="3" l="1"/>
  <c r="H43" i="3" s="1"/>
  <c r="K43" i="3" s="1"/>
  <c r="AD166" i="3"/>
  <c r="AC166" i="3"/>
  <c r="AA166" i="3"/>
  <c r="Z166" i="3"/>
  <c r="A167" i="3"/>
  <c r="B167" i="3" s="1"/>
  <c r="P166" i="3"/>
  <c r="Q166" i="3" s="1"/>
  <c r="R166" i="3" s="1"/>
  <c r="S164" i="3"/>
  <c r="T163" i="3"/>
  <c r="G43" i="3"/>
  <c r="F43" i="3" l="1"/>
  <c r="AD167" i="3"/>
  <c r="P167" i="3"/>
  <c r="Q167" i="3" s="1"/>
  <c r="R167" i="3" s="1"/>
  <c r="A168" i="3"/>
  <c r="B168" i="3" s="1"/>
  <c r="AA167" i="3"/>
  <c r="AC167" i="3"/>
  <c r="Z167" i="3"/>
  <c r="T164" i="3"/>
  <c r="S165" i="3"/>
  <c r="V43" i="3"/>
  <c r="AE43" i="3"/>
  <c r="I43" i="3"/>
  <c r="J43" i="3"/>
  <c r="M43" i="3"/>
  <c r="N43" i="3" s="1"/>
  <c r="W43" i="3" l="1"/>
  <c r="AD168" i="3"/>
  <c r="AC168" i="3"/>
  <c r="P168" i="3"/>
  <c r="Q168" i="3" s="1"/>
  <c r="R168" i="3" s="1"/>
  <c r="AA168" i="3"/>
  <c r="A169" i="3"/>
  <c r="B169" i="3" s="1"/>
  <c r="Z168" i="3"/>
  <c r="S166" i="3"/>
  <c r="T165" i="3"/>
  <c r="L43" i="3"/>
  <c r="AC169" i="3" l="1"/>
  <c r="P169" i="3"/>
  <c r="Q169" i="3" s="1"/>
  <c r="R169" i="3" s="1"/>
  <c r="AD169" i="3"/>
  <c r="Z169" i="3"/>
  <c r="AA169" i="3"/>
  <c r="A170" i="3"/>
  <c r="B170" i="3" s="1"/>
  <c r="AG44" i="3"/>
  <c r="AH44" i="3"/>
  <c r="U43" i="3"/>
  <c r="D44" i="3" s="1"/>
  <c r="Y42" i="3"/>
  <c r="T166" i="3"/>
  <c r="S167" i="3"/>
  <c r="E44" i="3" l="1"/>
  <c r="H44" i="3" s="1"/>
  <c r="K44" i="3" s="1"/>
  <c r="A171" i="3"/>
  <c r="B171" i="3" s="1"/>
  <c r="P170" i="3"/>
  <c r="Q170" i="3" s="1"/>
  <c r="R170" i="3" s="1"/>
  <c r="AA170" i="3"/>
  <c r="Z170" i="3"/>
  <c r="AD170" i="3"/>
  <c r="AC170" i="3"/>
  <c r="G44" i="3"/>
  <c r="T167" i="3"/>
  <c r="S168" i="3"/>
  <c r="F44" i="3" l="1"/>
  <c r="P171" i="3"/>
  <c r="Q171" i="3" s="1"/>
  <c r="R171" i="3" s="1"/>
  <c r="Z171" i="3"/>
  <c r="AD171" i="3"/>
  <c r="AC171" i="3"/>
  <c r="AA171" i="3"/>
  <c r="A172" i="3"/>
  <c r="B172" i="3" s="1"/>
  <c r="I44" i="3"/>
  <c r="J44" i="3"/>
  <c r="M44" i="3"/>
  <c r="N44" i="3" s="1"/>
  <c r="V44" i="3"/>
  <c r="AE44" i="3"/>
  <c r="T168" i="3"/>
  <c r="S169" i="3"/>
  <c r="W44" i="3" l="1"/>
  <c r="L44" i="3"/>
  <c r="AC172" i="3"/>
  <c r="AD172" i="3"/>
  <c r="Z172" i="3"/>
  <c r="A173" i="3"/>
  <c r="B173" i="3" s="1"/>
  <c r="AA172" i="3"/>
  <c r="P172" i="3"/>
  <c r="Q172" i="3" s="1"/>
  <c r="R172" i="3" s="1"/>
  <c r="S170" i="3"/>
  <c r="T169" i="3"/>
  <c r="AC173" i="3" l="1"/>
  <c r="AA173" i="3"/>
  <c r="A174" i="3"/>
  <c r="B174" i="3" s="1"/>
  <c r="P173" i="3"/>
  <c r="Q173" i="3" s="1"/>
  <c r="R173" i="3" s="1"/>
  <c r="AD173" i="3"/>
  <c r="Z173" i="3"/>
  <c r="S171" i="3"/>
  <c r="T170" i="3"/>
  <c r="U44" i="3"/>
  <c r="D45" i="3" s="1"/>
  <c r="AH45" i="3"/>
  <c r="AG45" i="3"/>
  <c r="Y43" i="3"/>
  <c r="E45" i="3" l="1"/>
  <c r="H45" i="3" s="1"/>
  <c r="K45" i="3" s="1"/>
  <c r="G45" i="3"/>
  <c r="AC174" i="3"/>
  <c r="AD174" i="3"/>
  <c r="AA174" i="3"/>
  <c r="P174" i="3"/>
  <c r="Q174" i="3" s="1"/>
  <c r="R174" i="3" s="1"/>
  <c r="Z174" i="3"/>
  <c r="A175" i="3"/>
  <c r="B175" i="3" s="1"/>
  <c r="S172" i="3"/>
  <c r="T171" i="3"/>
  <c r="F45" i="3" l="1"/>
  <c r="S173" i="3"/>
  <c r="T172" i="3"/>
  <c r="Z175" i="3"/>
  <c r="A176" i="3"/>
  <c r="B176" i="3" s="1"/>
  <c r="P175" i="3"/>
  <c r="Q175" i="3" s="1"/>
  <c r="R175" i="3" s="1"/>
  <c r="AD175" i="3"/>
  <c r="AA175" i="3"/>
  <c r="AC175" i="3"/>
  <c r="V45" i="3"/>
  <c r="AE45" i="3"/>
  <c r="I45" i="3"/>
  <c r="J45" i="3"/>
  <c r="M45" i="3"/>
  <c r="N45" i="3" s="1"/>
  <c r="W45" i="3" l="1"/>
  <c r="A177" i="3"/>
  <c r="B177" i="3" s="1"/>
  <c r="AA176" i="3"/>
  <c r="Z176" i="3"/>
  <c r="AC176" i="3"/>
  <c r="AD176" i="3"/>
  <c r="P176" i="3"/>
  <c r="Q176" i="3" s="1"/>
  <c r="R176" i="3" s="1"/>
  <c r="L45" i="3"/>
  <c r="S174" i="3"/>
  <c r="T173" i="3"/>
  <c r="P177" i="3" l="1"/>
  <c r="Q177" i="3" s="1"/>
  <c r="R177" i="3" s="1"/>
  <c r="A178" i="3"/>
  <c r="B178" i="3" s="1"/>
  <c r="AC177" i="3"/>
  <c r="AA177" i="3"/>
  <c r="AD177" i="3"/>
  <c r="Z177" i="3"/>
  <c r="T174" i="3"/>
  <c r="S175" i="3"/>
  <c r="U45" i="3"/>
  <c r="D46" i="3" s="1"/>
  <c r="AH46" i="3"/>
  <c r="AG46" i="3"/>
  <c r="Y44" i="3"/>
  <c r="E46" i="3" l="1"/>
  <c r="H46" i="3" s="1"/>
  <c r="K46" i="3" s="1"/>
  <c r="AC178" i="3"/>
  <c r="AD178" i="3"/>
  <c r="Z178" i="3"/>
  <c r="P178" i="3"/>
  <c r="Q178" i="3" s="1"/>
  <c r="R178" i="3" s="1"/>
  <c r="A179" i="3"/>
  <c r="B179" i="3" s="1"/>
  <c r="AA178" i="3"/>
  <c r="G46" i="3"/>
  <c r="S176" i="3"/>
  <c r="T175" i="3"/>
  <c r="F46" i="3" l="1"/>
  <c r="AA179" i="3"/>
  <c r="AC179" i="3"/>
  <c r="P179" i="3"/>
  <c r="Q179" i="3" s="1"/>
  <c r="R179" i="3" s="1"/>
  <c r="Z179" i="3"/>
  <c r="A180" i="3"/>
  <c r="B180" i="3" s="1"/>
  <c r="AD179" i="3"/>
  <c r="V46" i="3"/>
  <c r="AE46" i="3"/>
  <c r="T176" i="3"/>
  <c r="S177" i="3"/>
  <c r="I46" i="3"/>
  <c r="J46" i="3"/>
  <c r="M46" i="3"/>
  <c r="N46" i="3" s="1"/>
  <c r="AC180" i="3" l="1"/>
  <c r="A181" i="3"/>
  <c r="B181" i="3" s="1"/>
  <c r="AD180" i="3"/>
  <c r="P180" i="3"/>
  <c r="Q180" i="3" s="1"/>
  <c r="R180" i="3" s="1"/>
  <c r="Z180" i="3"/>
  <c r="AA180" i="3"/>
  <c r="S178" i="3"/>
  <c r="T177" i="3"/>
  <c r="L46" i="3"/>
  <c r="W46" i="3"/>
  <c r="AH47" i="3" l="1"/>
  <c r="U46" i="3"/>
  <c r="E47" i="3" s="1"/>
  <c r="H47" i="3" s="1"/>
  <c r="AG47" i="3"/>
  <c r="Y45" i="3"/>
  <c r="A182" i="3"/>
  <c r="B182" i="3" s="1"/>
  <c r="AD181" i="3"/>
  <c r="AA181" i="3"/>
  <c r="Z181" i="3"/>
  <c r="AC181" i="3"/>
  <c r="P181" i="3"/>
  <c r="Q181" i="3" s="1"/>
  <c r="R181" i="3" s="1"/>
  <c r="T178" i="3"/>
  <c r="S179" i="3"/>
  <c r="D47" i="3" l="1"/>
  <c r="G47" i="3" s="1"/>
  <c r="AC182" i="3"/>
  <c r="A183" i="3"/>
  <c r="B183" i="3" s="1"/>
  <c r="Z182" i="3"/>
  <c r="AD182" i="3"/>
  <c r="P182" i="3"/>
  <c r="Q182" i="3" s="1"/>
  <c r="R182" i="3" s="1"/>
  <c r="AA182" i="3"/>
  <c r="K47" i="3"/>
  <c r="S180" i="3"/>
  <c r="T179" i="3"/>
  <c r="F47" i="3" l="1"/>
  <c r="AA183" i="3"/>
  <c r="AC183" i="3"/>
  <c r="AD183" i="3"/>
  <c r="A184" i="3"/>
  <c r="B184" i="3" s="1"/>
  <c r="P183" i="3"/>
  <c r="Q183" i="3" s="1"/>
  <c r="R183" i="3" s="1"/>
  <c r="Z183" i="3"/>
  <c r="T180" i="3"/>
  <c r="S181" i="3"/>
  <c r="I47" i="3"/>
  <c r="J47" i="3"/>
  <c r="M47" i="3"/>
  <c r="N47" i="3" s="1"/>
  <c r="V47" i="3"/>
  <c r="AE47" i="3"/>
  <c r="W47" i="3" l="1"/>
  <c r="AA184" i="3"/>
  <c r="AD184" i="3"/>
  <c r="A185" i="3"/>
  <c r="B185" i="3" s="1"/>
  <c r="Z184" i="3"/>
  <c r="P184" i="3"/>
  <c r="Q184" i="3" s="1"/>
  <c r="R184" i="3" s="1"/>
  <c r="AC184" i="3"/>
  <c r="S182" i="3"/>
  <c r="T181" i="3"/>
  <c r="L47" i="3"/>
  <c r="U47" i="3" l="1"/>
  <c r="D48" i="3" s="1"/>
  <c r="AH48" i="3"/>
  <c r="AG48" i="3"/>
  <c r="Y46" i="3"/>
  <c r="AC185" i="3"/>
  <c r="AA185" i="3"/>
  <c r="AD185" i="3"/>
  <c r="A186" i="3"/>
  <c r="B186" i="3" s="1"/>
  <c r="Z185" i="3"/>
  <c r="P185" i="3"/>
  <c r="Q185" i="3" s="1"/>
  <c r="R185" i="3" s="1"/>
  <c r="T182" i="3"/>
  <c r="S183" i="3"/>
  <c r="E48" i="3" l="1"/>
  <c r="H48" i="3" s="1"/>
  <c r="K48" i="3" s="1"/>
  <c r="G48" i="3"/>
  <c r="Z186" i="3"/>
  <c r="AA186" i="3"/>
  <c r="P186" i="3"/>
  <c r="Q186" i="3" s="1"/>
  <c r="R186" i="3" s="1"/>
  <c r="AD186" i="3"/>
  <c r="A187" i="3"/>
  <c r="B187" i="3" s="1"/>
  <c r="AC186" i="3"/>
  <c r="T183" i="3"/>
  <c r="S184" i="3"/>
  <c r="F48" i="3" l="1"/>
  <c r="P187" i="3"/>
  <c r="Q187" i="3" s="1"/>
  <c r="R187" i="3" s="1"/>
  <c r="AC187" i="3"/>
  <c r="Z187" i="3"/>
  <c r="A188" i="3"/>
  <c r="B188" i="3" s="1"/>
  <c r="AA187" i="3"/>
  <c r="AD187" i="3"/>
  <c r="T184" i="3"/>
  <c r="S185" i="3"/>
  <c r="V48" i="3"/>
  <c r="AE48" i="3"/>
  <c r="I48" i="3"/>
  <c r="J48" i="3"/>
  <c r="M48" i="3"/>
  <c r="N48" i="3" s="1"/>
  <c r="W48" i="3" l="1"/>
  <c r="AA188" i="3"/>
  <c r="AC188" i="3"/>
  <c r="Z188" i="3"/>
  <c r="AD188" i="3"/>
  <c r="P188" i="3"/>
  <c r="Q188" i="3" s="1"/>
  <c r="R188" i="3" s="1"/>
  <c r="A189" i="3"/>
  <c r="B189" i="3" s="1"/>
  <c r="S186" i="3"/>
  <c r="T185" i="3"/>
  <c r="L48" i="3"/>
  <c r="AG49" i="3" l="1"/>
  <c r="AH49" i="3"/>
  <c r="U48" i="3"/>
  <c r="E49" i="3" s="1"/>
  <c r="H49" i="3" s="1"/>
  <c r="Y47" i="3"/>
  <c r="AA189" i="3"/>
  <c r="Z189" i="3"/>
  <c r="P189" i="3"/>
  <c r="Q189" i="3" s="1"/>
  <c r="R189" i="3" s="1"/>
  <c r="AC189" i="3"/>
  <c r="AD189" i="3"/>
  <c r="A190" i="3"/>
  <c r="B190" i="3" s="1"/>
  <c r="S187" i="3"/>
  <c r="T186" i="3"/>
  <c r="D49" i="3" l="1"/>
  <c r="F49" i="3" s="1"/>
  <c r="AD190" i="3"/>
  <c r="AA190" i="3"/>
  <c r="AC190" i="3"/>
  <c r="P190" i="3"/>
  <c r="Q190" i="3" s="1"/>
  <c r="R190" i="3" s="1"/>
  <c r="Z190" i="3"/>
  <c r="A191" i="3"/>
  <c r="B191" i="3" s="1"/>
  <c r="T187" i="3"/>
  <c r="S188" i="3"/>
  <c r="K49" i="3"/>
  <c r="G49" i="3" l="1"/>
  <c r="I49" i="3" s="1"/>
  <c r="Z191" i="3"/>
  <c r="P191" i="3"/>
  <c r="Q191" i="3" s="1"/>
  <c r="R191" i="3" s="1"/>
  <c r="AD191" i="3"/>
  <c r="AA191" i="3"/>
  <c r="AC191" i="3"/>
  <c r="A192" i="3"/>
  <c r="B192" i="3" s="1"/>
  <c r="V49" i="3"/>
  <c r="AE49" i="3"/>
  <c r="S189" i="3"/>
  <c r="T188" i="3"/>
  <c r="M49" i="3" l="1"/>
  <c r="N49" i="3" s="1"/>
  <c r="J49" i="3"/>
  <c r="L49" i="3" s="1"/>
  <c r="W49" i="3"/>
  <c r="P192" i="3"/>
  <c r="Q192" i="3" s="1"/>
  <c r="R192" i="3" s="1"/>
  <c r="AC192" i="3"/>
  <c r="AD192" i="3"/>
  <c r="AA192" i="3"/>
  <c r="A193" i="3"/>
  <c r="B193" i="3" s="1"/>
  <c r="Z192" i="3"/>
  <c r="T189" i="3"/>
  <c r="S190" i="3"/>
  <c r="Z193" i="3" l="1"/>
  <c r="AC193" i="3"/>
  <c r="AA193" i="3"/>
  <c r="A194" i="3"/>
  <c r="B194" i="3" s="1"/>
  <c r="AD193" i="3"/>
  <c r="P193" i="3"/>
  <c r="Q193" i="3" s="1"/>
  <c r="R193" i="3" s="1"/>
  <c r="AG50" i="3"/>
  <c r="AH50" i="3"/>
  <c r="U49" i="3"/>
  <c r="E50" i="3" s="1"/>
  <c r="H50" i="3" s="1"/>
  <c r="Y48" i="3"/>
  <c r="S191" i="3"/>
  <c r="T190" i="3"/>
  <c r="D50" i="3" l="1"/>
  <c r="F50" i="3" s="1"/>
  <c r="Z194" i="3"/>
  <c r="AC194" i="3"/>
  <c r="AD194" i="3"/>
  <c r="A195" i="3"/>
  <c r="B195" i="3" s="1"/>
  <c r="AA194" i="3"/>
  <c r="P194" i="3"/>
  <c r="Q194" i="3" s="1"/>
  <c r="R194" i="3" s="1"/>
  <c r="S192" i="3"/>
  <c r="T191" i="3"/>
  <c r="K50" i="3"/>
  <c r="G50" i="3" l="1"/>
  <c r="I50" i="3" s="1"/>
  <c r="AA195" i="3"/>
  <c r="P195" i="3"/>
  <c r="Q195" i="3" s="1"/>
  <c r="R195" i="3" s="1"/>
  <c r="Z195" i="3"/>
  <c r="AD195" i="3"/>
  <c r="AC195" i="3"/>
  <c r="A196" i="3"/>
  <c r="B196" i="3" s="1"/>
  <c r="V50" i="3"/>
  <c r="AE50" i="3"/>
  <c r="S193" i="3"/>
  <c r="T192" i="3"/>
  <c r="J50" i="3" l="1"/>
  <c r="L50" i="3" s="1"/>
  <c r="M50" i="3"/>
  <c r="N50" i="3" s="1"/>
  <c r="W50" i="3"/>
  <c r="A197" i="3"/>
  <c r="B197" i="3" s="1"/>
  <c r="Z196" i="3"/>
  <c r="AA196" i="3"/>
  <c r="P196" i="3"/>
  <c r="Q196" i="3" s="1"/>
  <c r="R196" i="3" s="1"/>
  <c r="AC196" i="3"/>
  <c r="AD196" i="3"/>
  <c r="T193" i="3"/>
  <c r="S194" i="3"/>
  <c r="AG51" i="3" l="1"/>
  <c r="AH51" i="3"/>
  <c r="U50" i="3"/>
  <c r="D51" i="3" s="1"/>
  <c r="Y49" i="3"/>
  <c r="S195" i="3"/>
  <c r="T194" i="3"/>
  <c r="AC197" i="3"/>
  <c r="Z197" i="3"/>
  <c r="AD197" i="3"/>
  <c r="A198" i="3"/>
  <c r="B198" i="3" s="1"/>
  <c r="AA197" i="3"/>
  <c r="P197" i="3"/>
  <c r="Q197" i="3" s="1"/>
  <c r="R197" i="3" s="1"/>
  <c r="E51" i="3" l="1"/>
  <c r="H51" i="3" s="1"/>
  <c r="K51" i="3" s="1"/>
  <c r="G51" i="3"/>
  <c r="A199" i="3"/>
  <c r="B199" i="3" s="1"/>
  <c r="P198" i="3"/>
  <c r="Q198" i="3" s="1"/>
  <c r="R198" i="3" s="1"/>
  <c r="AD198" i="3"/>
  <c r="AA198" i="3"/>
  <c r="Z198" i="3"/>
  <c r="AC198" i="3"/>
  <c r="T195" i="3"/>
  <c r="S196" i="3"/>
  <c r="F51" i="3" l="1"/>
  <c r="Z199" i="3"/>
  <c r="AD199" i="3"/>
  <c r="P199" i="3"/>
  <c r="Q199" i="3" s="1"/>
  <c r="R199" i="3" s="1"/>
  <c r="AA199" i="3"/>
  <c r="AC199" i="3"/>
  <c r="A200" i="3"/>
  <c r="B200" i="3" s="1"/>
  <c r="S197" i="3"/>
  <c r="T196" i="3"/>
  <c r="V51" i="3"/>
  <c r="AE51" i="3"/>
  <c r="I51" i="3"/>
  <c r="J51" i="3"/>
  <c r="M51" i="3"/>
  <c r="N51" i="3" s="1"/>
  <c r="W51" i="3" l="1"/>
  <c r="AA200" i="3"/>
  <c r="A201" i="3"/>
  <c r="B201" i="3" s="1"/>
  <c r="AD200" i="3"/>
  <c r="Z200" i="3"/>
  <c r="AC200" i="3"/>
  <c r="P200" i="3"/>
  <c r="Q200" i="3" s="1"/>
  <c r="R200" i="3" s="1"/>
  <c r="L51" i="3"/>
  <c r="S198" i="3"/>
  <c r="T197" i="3"/>
  <c r="T198" i="3" l="1"/>
  <c r="S199" i="3"/>
  <c r="AA201" i="3"/>
  <c r="P201" i="3"/>
  <c r="Q201" i="3" s="1"/>
  <c r="R201" i="3" s="1"/>
  <c r="AD201" i="3"/>
  <c r="Z201" i="3"/>
  <c r="AC201" i="3"/>
  <c r="A202" i="3"/>
  <c r="B202" i="3" s="1"/>
  <c r="U51" i="3"/>
  <c r="D52" i="3" s="1"/>
  <c r="AH52" i="3"/>
  <c r="AG52" i="3"/>
  <c r="Y50" i="3"/>
  <c r="E52" i="3" l="1"/>
  <c r="H52" i="3" s="1"/>
  <c r="K52" i="3" s="1"/>
  <c r="G52" i="3"/>
  <c r="AC202" i="3"/>
  <c r="AA202" i="3"/>
  <c r="P202" i="3"/>
  <c r="Q202" i="3" s="1"/>
  <c r="R202" i="3" s="1"/>
  <c r="AD202" i="3"/>
  <c r="Z202" i="3"/>
  <c r="A203" i="3"/>
  <c r="B203" i="3" s="1"/>
  <c r="S200" i="3"/>
  <c r="T199" i="3"/>
  <c r="F52" i="3" l="1"/>
  <c r="S201" i="3"/>
  <c r="T200" i="3"/>
  <c r="V52" i="3"/>
  <c r="AE52" i="3"/>
  <c r="AC203" i="3"/>
  <c r="Z203" i="3"/>
  <c r="A204" i="3"/>
  <c r="B204" i="3" s="1"/>
  <c r="AA203" i="3"/>
  <c r="AD203" i="3"/>
  <c r="P203" i="3"/>
  <c r="Q203" i="3" s="1"/>
  <c r="R203" i="3" s="1"/>
  <c r="I52" i="3"/>
  <c r="J52" i="3"/>
  <c r="M52" i="3"/>
  <c r="N52" i="3" s="1"/>
  <c r="W52" i="3" l="1"/>
  <c r="AC204" i="3"/>
  <c r="P204" i="3"/>
  <c r="Q204" i="3" s="1"/>
  <c r="R204" i="3" s="1"/>
  <c r="AA204" i="3"/>
  <c r="Z204" i="3"/>
  <c r="L52" i="3"/>
  <c r="S202" i="3"/>
  <c r="T201" i="3"/>
  <c r="T202" i="3" l="1"/>
  <c r="S203" i="3"/>
  <c r="AG53" i="3"/>
  <c r="AH53" i="3"/>
  <c r="U52" i="3"/>
  <c r="D53" i="3" s="1"/>
  <c r="Y51" i="3"/>
  <c r="E53" i="3" l="1"/>
  <c r="H53" i="3" s="1"/>
  <c r="K53" i="3" s="1"/>
  <c r="G53" i="3"/>
  <c r="T203" i="3"/>
  <c r="S204" i="3"/>
  <c r="F53" i="3" l="1"/>
  <c r="T204" i="3"/>
  <c r="V53" i="3"/>
  <c r="AE53" i="3"/>
  <c r="I53" i="3"/>
  <c r="J53" i="3"/>
  <c r="M53" i="3"/>
  <c r="N53" i="3" s="1"/>
  <c r="W53" i="3" l="1"/>
  <c r="L53" i="3"/>
  <c r="AH54" i="3" l="1"/>
  <c r="U53" i="3"/>
  <c r="E54" i="3" s="1"/>
  <c r="H54" i="3" s="1"/>
  <c r="AG54" i="3"/>
  <c r="Y52" i="3"/>
  <c r="D54" i="3" l="1"/>
  <c r="F54" i="3" s="1"/>
  <c r="K54" i="3"/>
  <c r="G54" i="3" l="1"/>
  <c r="I54" i="3" s="1"/>
  <c r="V54" i="3"/>
  <c r="AE54" i="3"/>
  <c r="W54" i="3" l="1"/>
  <c r="M54" i="3"/>
  <c r="N54" i="3" s="1"/>
  <c r="J54" i="3"/>
  <c r="L54" i="3" s="1"/>
  <c r="U54" i="3" l="1"/>
  <c r="D55" i="3" s="1"/>
  <c r="AH55" i="3"/>
  <c r="AG55" i="3"/>
  <c r="Y53" i="3"/>
  <c r="E55" i="3" l="1"/>
  <c r="H55" i="3" s="1"/>
  <c r="K55" i="3" s="1"/>
  <c r="G55" i="3"/>
  <c r="F55" i="3" l="1"/>
  <c r="V55" i="3"/>
  <c r="AE55" i="3"/>
  <c r="I55" i="3"/>
  <c r="J55" i="3"/>
  <c r="M55" i="3"/>
  <c r="N55" i="3" s="1"/>
  <c r="W55" i="3" l="1"/>
  <c r="L55" i="3"/>
  <c r="AG56" i="3" l="1"/>
  <c r="AH56" i="3"/>
  <c r="U55" i="3"/>
  <c r="E56" i="3" s="1"/>
  <c r="H56" i="3" s="1"/>
  <c r="Y54" i="3"/>
  <c r="K56" i="3" l="1"/>
  <c r="D56" i="3"/>
  <c r="F56" i="3" l="1"/>
  <c r="G56" i="3"/>
  <c r="V56" i="3"/>
  <c r="AE56" i="3"/>
  <c r="I56" i="3" l="1"/>
  <c r="W56" i="3" s="1"/>
  <c r="J56" i="3"/>
  <c r="M56" i="3"/>
  <c r="N56" i="3" s="1"/>
  <c r="L56" i="3" l="1"/>
  <c r="U56" i="3" l="1"/>
  <c r="D57" i="3" s="1"/>
  <c r="AG57" i="3"/>
  <c r="AH57" i="3"/>
  <c r="Y55" i="3"/>
  <c r="E57" i="3" l="1"/>
  <c r="H57" i="3" s="1"/>
  <c r="K57" i="3" s="1"/>
  <c r="G57" i="3"/>
  <c r="F57" i="3" l="1"/>
  <c r="V57" i="3"/>
  <c r="AE57" i="3"/>
  <c r="I57" i="3"/>
  <c r="J57" i="3"/>
  <c r="M57" i="3"/>
  <c r="N57" i="3" s="1"/>
  <c r="W57" i="3" l="1"/>
  <c r="L57" i="3"/>
  <c r="AH58" i="3" l="1"/>
  <c r="U57" i="3"/>
  <c r="E58" i="3" s="1"/>
  <c r="H58" i="3" s="1"/>
  <c r="AG58" i="3"/>
  <c r="Y56" i="3"/>
  <c r="D58" i="3" l="1"/>
  <c r="F58" i="3" s="1"/>
  <c r="K58" i="3"/>
  <c r="G58" i="3" l="1"/>
  <c r="I58" i="3" s="1"/>
  <c r="V58" i="3"/>
  <c r="AE58" i="3"/>
  <c r="W58" i="3" l="1"/>
  <c r="M58" i="3"/>
  <c r="N58" i="3" s="1"/>
  <c r="J58" i="3"/>
  <c r="L58" i="3" s="1"/>
  <c r="AH59" i="3" l="1"/>
  <c r="AG59" i="3"/>
  <c r="U58" i="3"/>
  <c r="D59" i="3" s="1"/>
  <c r="Y57" i="3"/>
  <c r="G59" i="3" l="1"/>
  <c r="E59" i="3"/>
  <c r="H59" i="3" s="1"/>
  <c r="K59" i="3" l="1"/>
  <c r="I59" i="3"/>
  <c r="J59" i="3"/>
  <c r="M59" i="3"/>
  <c r="N59" i="3" s="1"/>
  <c r="F59" i="3"/>
  <c r="L59" i="3" l="1"/>
  <c r="V59" i="3"/>
  <c r="W59" i="3" s="1"/>
  <c r="AE59" i="3"/>
  <c r="AH60" i="3" l="1"/>
  <c r="U59" i="3"/>
  <c r="D60" i="3" s="1"/>
  <c r="AG60" i="3"/>
  <c r="Y58" i="3"/>
  <c r="E60" i="3" l="1"/>
  <c r="H60" i="3" s="1"/>
  <c r="K60" i="3" s="1"/>
  <c r="G60" i="3"/>
  <c r="F60" i="3" l="1"/>
  <c r="V60" i="3"/>
  <c r="AE60" i="3"/>
  <c r="I60" i="3"/>
  <c r="J60" i="3"/>
  <c r="M60" i="3"/>
  <c r="N60" i="3" s="1"/>
  <c r="W60" i="3" l="1"/>
  <c r="L60" i="3"/>
  <c r="U60" i="3" l="1"/>
  <c r="D61" i="3" s="1"/>
  <c r="AH61" i="3"/>
  <c r="AG61" i="3"/>
  <c r="Y59" i="3"/>
  <c r="E61" i="3" l="1"/>
  <c r="H61" i="3" s="1"/>
  <c r="K61" i="3" s="1"/>
  <c r="G61" i="3"/>
  <c r="F61" i="3" l="1"/>
  <c r="I61" i="3"/>
  <c r="J61" i="3"/>
  <c r="M61" i="3"/>
  <c r="N61" i="3" s="1"/>
  <c r="V61" i="3"/>
  <c r="AE61" i="3"/>
  <c r="W61" i="3" l="1"/>
  <c r="L61" i="3"/>
  <c r="AG62" i="3" l="1"/>
  <c r="U61" i="3"/>
  <c r="D62" i="3" s="1"/>
  <c r="AH62" i="3"/>
  <c r="Y60" i="3"/>
  <c r="E62" i="3" l="1"/>
  <c r="H62" i="3" s="1"/>
  <c r="K62" i="3" s="1"/>
  <c r="G62" i="3"/>
  <c r="F62" i="3" l="1"/>
  <c r="V62" i="3"/>
  <c r="AE62" i="3"/>
  <c r="I62" i="3"/>
  <c r="J62" i="3"/>
  <c r="M62" i="3"/>
  <c r="N62" i="3" s="1"/>
  <c r="W62" i="3" l="1"/>
  <c r="L62" i="3"/>
  <c r="AH63" i="3" l="1"/>
  <c r="U62" i="3"/>
  <c r="D63" i="3" s="1"/>
  <c r="AG63" i="3"/>
  <c r="Y61" i="3"/>
  <c r="E63" i="3" l="1"/>
  <c r="H63" i="3" s="1"/>
  <c r="K63" i="3" s="1"/>
  <c r="G63" i="3"/>
  <c r="F63" i="3" l="1"/>
  <c r="V63" i="3"/>
  <c r="AE63" i="3"/>
  <c r="I63" i="3"/>
  <c r="J63" i="3"/>
  <c r="M63" i="3"/>
  <c r="N63" i="3" s="1"/>
  <c r="L63" i="3" l="1"/>
  <c r="W63" i="3"/>
  <c r="AH64" i="3" l="1"/>
  <c r="AG64" i="3"/>
  <c r="U63" i="3"/>
  <c r="D64" i="3" s="1"/>
  <c r="Y62" i="3"/>
  <c r="G64" i="3" l="1"/>
  <c r="E64" i="3"/>
  <c r="H64" i="3" s="1"/>
  <c r="K64" i="3" l="1"/>
  <c r="I64" i="3"/>
  <c r="J64" i="3"/>
  <c r="M64" i="3"/>
  <c r="N64" i="3" s="1"/>
  <c r="F64" i="3"/>
  <c r="L64" i="3" l="1"/>
  <c r="V64" i="3"/>
  <c r="W64" i="3" s="1"/>
  <c r="AE64" i="3"/>
  <c r="AG65" i="3" l="1"/>
  <c r="U64" i="3"/>
  <c r="E65" i="3" s="1"/>
  <c r="H65" i="3" s="1"/>
  <c r="AH65" i="3"/>
  <c r="Y63" i="3"/>
  <c r="D65" i="3" l="1"/>
  <c r="G65" i="3" s="1"/>
  <c r="K65" i="3"/>
  <c r="F65" i="3" l="1"/>
  <c r="I65" i="3"/>
  <c r="J65" i="3"/>
  <c r="M65" i="3"/>
  <c r="N65" i="3" s="1"/>
  <c r="V65" i="3"/>
  <c r="AE65" i="3"/>
  <c r="W65" i="3" l="1"/>
  <c r="L65" i="3"/>
  <c r="AH66" i="3" l="1"/>
  <c r="AG66" i="3"/>
  <c r="U65" i="3"/>
  <c r="E66" i="3" s="1"/>
  <c r="H66" i="3" s="1"/>
  <c r="Y64" i="3"/>
  <c r="K66" i="3" l="1"/>
  <c r="D66" i="3"/>
  <c r="F66" i="3" l="1"/>
  <c r="G66" i="3"/>
  <c r="V66" i="3"/>
  <c r="AE66" i="3"/>
  <c r="I66" i="3" l="1"/>
  <c r="W66" i="3" s="1"/>
  <c r="J66" i="3"/>
  <c r="M66" i="3"/>
  <c r="N66" i="3" s="1"/>
  <c r="L66" i="3" l="1"/>
  <c r="U66" i="3" l="1"/>
  <c r="E67" i="3" s="1"/>
  <c r="H67" i="3" s="1"/>
  <c r="AH67" i="3"/>
  <c r="AG67" i="3"/>
  <c r="Y65" i="3"/>
  <c r="D67" i="3" l="1"/>
  <c r="F67" i="3" s="1"/>
  <c r="K67" i="3"/>
  <c r="G67" i="3" l="1"/>
  <c r="I67" i="3" s="1"/>
  <c r="V67" i="3"/>
  <c r="AE67" i="3"/>
  <c r="M67" i="3" l="1"/>
  <c r="N67" i="3" s="1"/>
  <c r="J67" i="3"/>
  <c r="L67" i="3" s="1"/>
  <c r="W67" i="3"/>
  <c r="U67" i="3" l="1"/>
  <c r="D68" i="3" s="1"/>
  <c r="AG68" i="3"/>
  <c r="AH68" i="3"/>
  <c r="Y66" i="3"/>
  <c r="E68" i="3" l="1"/>
  <c r="H68" i="3" s="1"/>
  <c r="K68" i="3" s="1"/>
  <c r="G68" i="3"/>
  <c r="F68" i="3" l="1"/>
  <c r="I68" i="3"/>
  <c r="J68" i="3"/>
  <c r="M68" i="3"/>
  <c r="N68" i="3" s="1"/>
  <c r="V68" i="3"/>
  <c r="AE68" i="3"/>
  <c r="W68" i="3" l="1"/>
  <c r="L68" i="3"/>
  <c r="AG69" i="3" l="1"/>
  <c r="AH69" i="3"/>
  <c r="U68" i="3"/>
  <c r="E69" i="3" s="1"/>
  <c r="H69" i="3" s="1"/>
  <c r="Y67" i="3"/>
  <c r="D69" i="3" l="1"/>
  <c r="F69" i="3" s="1"/>
  <c r="K69" i="3"/>
  <c r="G69" i="3" l="1"/>
  <c r="I69" i="3" s="1"/>
  <c r="V69" i="3"/>
  <c r="AE69" i="3"/>
  <c r="M69" i="3" l="1"/>
  <c r="N69" i="3" s="1"/>
  <c r="W69" i="3"/>
  <c r="J69" i="3"/>
  <c r="L69" i="3" s="1"/>
  <c r="AH70" i="3" l="1"/>
  <c r="U69" i="3"/>
  <c r="D70" i="3" s="1"/>
  <c r="AG70" i="3"/>
  <c r="Y68" i="3"/>
  <c r="E70" i="3" l="1"/>
  <c r="H70" i="3" s="1"/>
  <c r="K70" i="3" s="1"/>
  <c r="G70" i="3"/>
  <c r="F70" i="3" l="1"/>
  <c r="V70" i="3"/>
  <c r="AE70" i="3"/>
  <c r="I70" i="3"/>
  <c r="J70" i="3"/>
  <c r="M70" i="3"/>
  <c r="N70" i="3" s="1"/>
  <c r="L70" i="3" l="1"/>
  <c r="W70" i="3"/>
  <c r="U70" i="3" l="1"/>
  <c r="E71" i="3" s="1"/>
  <c r="H71" i="3" s="1"/>
  <c r="AH71" i="3"/>
  <c r="AG71" i="3"/>
  <c r="Y69" i="3"/>
  <c r="D71" i="3" l="1"/>
  <c r="F71" i="3" s="1"/>
  <c r="K71" i="3"/>
  <c r="G71" i="3" l="1"/>
  <c r="I71" i="3" s="1"/>
  <c r="V71" i="3"/>
  <c r="AE71" i="3"/>
  <c r="J71" i="3" l="1"/>
  <c r="L71" i="3" s="1"/>
  <c r="M71" i="3"/>
  <c r="N71" i="3" s="1"/>
  <c r="W71" i="3"/>
  <c r="U71" i="3" l="1"/>
  <c r="D72" i="3" s="1"/>
  <c r="AH72" i="3"/>
  <c r="AG72" i="3"/>
  <c r="Y70" i="3"/>
  <c r="E72" i="3" l="1"/>
  <c r="H72" i="3" s="1"/>
  <c r="K72" i="3" s="1"/>
  <c r="G72" i="3"/>
  <c r="F72" i="3" l="1"/>
  <c r="V72" i="3"/>
  <c r="AE72" i="3"/>
  <c r="I72" i="3"/>
  <c r="J72" i="3"/>
  <c r="M72" i="3"/>
  <c r="N72" i="3" s="1"/>
  <c r="L72" i="3" l="1"/>
  <c r="W72" i="3"/>
  <c r="AG73" i="3" l="1"/>
  <c r="AH73" i="3"/>
  <c r="U72" i="3"/>
  <c r="D73" i="3" s="1"/>
  <c r="Y71" i="3"/>
  <c r="E73" i="3" l="1"/>
  <c r="H73" i="3" s="1"/>
  <c r="K73" i="3" s="1"/>
  <c r="G73" i="3"/>
  <c r="F73" i="3" l="1"/>
  <c r="V73" i="3"/>
  <c r="AE73" i="3"/>
  <c r="I73" i="3"/>
  <c r="J73" i="3"/>
  <c r="M73" i="3"/>
  <c r="N73" i="3" s="1"/>
  <c r="L73" i="3" l="1"/>
  <c r="W73" i="3"/>
  <c r="AH74" i="3" l="1"/>
  <c r="U73" i="3"/>
  <c r="D74" i="3" s="1"/>
  <c r="AG74" i="3"/>
  <c r="Y72" i="3"/>
  <c r="E74" i="3" l="1"/>
  <c r="H74" i="3" s="1"/>
  <c r="K74" i="3" s="1"/>
  <c r="G74" i="3"/>
  <c r="F74" i="3" l="1"/>
  <c r="V74" i="3"/>
  <c r="AE74" i="3"/>
  <c r="I74" i="3"/>
  <c r="J74" i="3"/>
  <c r="M74" i="3"/>
  <c r="N74" i="3" s="1"/>
  <c r="L74" i="3" l="1"/>
  <c r="W74" i="3"/>
  <c r="AG75" i="3" l="1"/>
  <c r="U74" i="3"/>
  <c r="E75" i="3" s="1"/>
  <c r="H75" i="3" s="1"/>
  <c r="AH75" i="3"/>
  <c r="Y73" i="3"/>
  <c r="D75" i="3" l="1"/>
  <c r="F75" i="3" s="1"/>
  <c r="K75" i="3"/>
  <c r="G75" i="3" l="1"/>
  <c r="M75" i="3" s="1"/>
  <c r="N75" i="3" s="1"/>
  <c r="V75" i="3"/>
  <c r="AE75" i="3"/>
  <c r="J75" i="3" l="1"/>
  <c r="L75" i="3" s="1"/>
  <c r="I75" i="3"/>
  <c r="W75" i="3" s="1"/>
  <c r="AG76" i="3" l="1"/>
  <c r="U75" i="3"/>
  <c r="D76" i="3" s="1"/>
  <c r="AH76" i="3"/>
  <c r="Y74" i="3"/>
  <c r="E76" i="3" l="1"/>
  <c r="H76" i="3" s="1"/>
  <c r="K76" i="3" s="1"/>
  <c r="G76" i="3"/>
  <c r="F76" i="3" l="1"/>
  <c r="V76" i="3"/>
  <c r="AE76" i="3"/>
  <c r="I76" i="3"/>
  <c r="J76" i="3"/>
  <c r="M76" i="3"/>
  <c r="N76" i="3" s="1"/>
  <c r="L76" i="3" l="1"/>
  <c r="W76" i="3"/>
  <c r="AG77" i="3" l="1"/>
  <c r="U76" i="3"/>
  <c r="D77" i="3" s="1"/>
  <c r="AH77" i="3"/>
  <c r="Y75" i="3"/>
  <c r="E77" i="3" l="1"/>
  <c r="H77" i="3" s="1"/>
  <c r="K77" i="3" s="1"/>
  <c r="G77" i="3"/>
  <c r="F77" i="3" l="1"/>
  <c r="V77" i="3"/>
  <c r="AE77" i="3"/>
  <c r="I77" i="3"/>
  <c r="J77" i="3"/>
  <c r="M77" i="3"/>
  <c r="N77" i="3" s="1"/>
  <c r="L77" i="3" l="1"/>
  <c r="W77" i="3"/>
  <c r="U77" i="3" l="1"/>
  <c r="E78" i="3" s="1"/>
  <c r="H78" i="3" s="1"/>
  <c r="AH78" i="3"/>
  <c r="AG78" i="3"/>
  <c r="Y76" i="3"/>
  <c r="D78" i="3" l="1"/>
  <c r="G78" i="3" s="1"/>
  <c r="K78" i="3"/>
  <c r="F78" i="3" l="1"/>
  <c r="I78" i="3"/>
  <c r="J78" i="3"/>
  <c r="M78" i="3"/>
  <c r="N78" i="3" s="1"/>
  <c r="V78" i="3"/>
  <c r="AE78" i="3"/>
  <c r="W78" i="3" l="1"/>
  <c r="L78" i="3"/>
  <c r="U78" i="3" l="1"/>
  <c r="E79" i="3" s="1"/>
  <c r="H79" i="3" s="1"/>
  <c r="AG79" i="3"/>
  <c r="AH79" i="3"/>
  <c r="Y77" i="3"/>
  <c r="D79" i="3" l="1"/>
  <c r="F79" i="3" s="1"/>
  <c r="K79" i="3"/>
  <c r="G79" i="3" l="1"/>
  <c r="I79" i="3" s="1"/>
  <c r="V79" i="3"/>
  <c r="AE79" i="3"/>
  <c r="M79" i="3" l="1"/>
  <c r="N79" i="3" s="1"/>
  <c r="J79" i="3"/>
  <c r="L79" i="3" s="1"/>
  <c r="W79" i="3"/>
  <c r="AH80" i="3" l="1"/>
  <c r="AG80" i="3"/>
  <c r="U79" i="3"/>
  <c r="E80" i="3" s="1"/>
  <c r="H80" i="3" s="1"/>
  <c r="Y78" i="3"/>
  <c r="D80" i="3" l="1"/>
  <c r="F80" i="3" s="1"/>
  <c r="K80" i="3"/>
  <c r="G80" i="3" l="1"/>
  <c r="J80" i="3" s="1"/>
  <c r="V80" i="3"/>
  <c r="AE80" i="3"/>
  <c r="I80" i="3" l="1"/>
  <c r="W80" i="3" s="1"/>
  <c r="M80" i="3"/>
  <c r="N80" i="3" s="1"/>
  <c r="L80" i="3"/>
  <c r="AG81" i="3" l="1"/>
  <c r="U80" i="3"/>
  <c r="E81" i="3" s="1"/>
  <c r="H81" i="3" s="1"/>
  <c r="AH81" i="3"/>
  <c r="Y79" i="3"/>
  <c r="D81" i="3" l="1"/>
  <c r="F81" i="3" s="1"/>
  <c r="K81" i="3"/>
  <c r="G81" i="3" l="1"/>
  <c r="I81" i="3" s="1"/>
  <c r="V81" i="3"/>
  <c r="AE81" i="3"/>
  <c r="M81" i="3" l="1"/>
  <c r="N81" i="3" s="1"/>
  <c r="J81" i="3"/>
  <c r="L81" i="3" s="1"/>
  <c r="W81" i="3"/>
  <c r="AG82" i="3" l="1"/>
  <c r="AH82" i="3"/>
  <c r="U81" i="3"/>
  <c r="E82" i="3" s="1"/>
  <c r="H82" i="3" s="1"/>
  <c r="Y80" i="3"/>
  <c r="D82" i="3" l="1"/>
  <c r="F82" i="3" s="1"/>
  <c r="K82" i="3"/>
  <c r="G82" i="3" l="1"/>
  <c r="M82" i="3" s="1"/>
  <c r="N82" i="3" s="1"/>
  <c r="V82" i="3"/>
  <c r="AE82" i="3"/>
  <c r="J82" i="3" l="1"/>
  <c r="L82" i="3" s="1"/>
  <c r="I82" i="3"/>
  <c r="W82" i="3" s="1"/>
  <c r="AG83" i="3" l="1"/>
  <c r="U82" i="3"/>
  <c r="D83" i="3" s="1"/>
  <c r="AH83" i="3"/>
  <c r="Y81" i="3"/>
  <c r="E83" i="3" l="1"/>
  <c r="H83" i="3" s="1"/>
  <c r="K83" i="3" s="1"/>
  <c r="G83" i="3"/>
  <c r="F83" i="3" l="1"/>
  <c r="V83" i="3"/>
  <c r="AE83" i="3"/>
  <c r="I83" i="3"/>
  <c r="J83" i="3"/>
  <c r="M83" i="3"/>
  <c r="N83" i="3" s="1"/>
  <c r="L83" i="3" l="1"/>
  <c r="W83" i="3"/>
  <c r="AG84" i="3" l="1"/>
  <c r="AH84" i="3"/>
  <c r="U83" i="3"/>
  <c r="E84" i="3" s="1"/>
  <c r="H84" i="3" s="1"/>
  <c r="Y82" i="3"/>
  <c r="K84" i="3" l="1"/>
  <c r="D84" i="3"/>
  <c r="V84" i="3" l="1"/>
  <c r="AE84" i="3"/>
  <c r="F84" i="3"/>
  <c r="G84" i="3"/>
  <c r="I84" i="3" l="1"/>
  <c r="W84" i="3" s="1"/>
  <c r="J84" i="3"/>
  <c r="M84" i="3"/>
  <c r="N84" i="3" s="1"/>
  <c r="L84" i="3" l="1"/>
  <c r="AH85" i="3" l="1"/>
  <c r="AG85" i="3"/>
  <c r="U84" i="3"/>
  <c r="E85" i="3" s="1"/>
  <c r="H85" i="3" s="1"/>
  <c r="Y83" i="3"/>
  <c r="D85" i="3" l="1"/>
  <c r="F85" i="3" s="1"/>
  <c r="K85" i="3"/>
  <c r="G85" i="3" l="1"/>
  <c r="I85" i="3" s="1"/>
  <c r="V85" i="3"/>
  <c r="AE85" i="3"/>
  <c r="W85" i="3" l="1"/>
  <c r="M85" i="3"/>
  <c r="N85" i="3" s="1"/>
  <c r="J85" i="3"/>
  <c r="L85" i="3" s="1"/>
  <c r="AG86" i="3" l="1"/>
  <c r="AH86" i="3"/>
  <c r="U85" i="3"/>
  <c r="D86" i="3" s="1"/>
  <c r="Y84" i="3"/>
  <c r="E86" i="3" l="1"/>
  <c r="H86" i="3" s="1"/>
  <c r="K86" i="3" s="1"/>
  <c r="G86" i="3"/>
  <c r="F86" i="3" l="1"/>
  <c r="V86" i="3"/>
  <c r="AE86" i="3"/>
  <c r="I86" i="3"/>
  <c r="J86" i="3"/>
  <c r="M86" i="3"/>
  <c r="N86" i="3" s="1"/>
  <c r="L86" i="3" l="1"/>
  <c r="W86" i="3"/>
  <c r="AH87" i="3" l="1"/>
  <c r="U86" i="3"/>
  <c r="D87" i="3" s="1"/>
  <c r="AG87" i="3"/>
  <c r="Y85" i="3"/>
  <c r="E87" i="3" l="1"/>
  <c r="H87" i="3" s="1"/>
  <c r="K87" i="3" s="1"/>
  <c r="G87" i="3"/>
  <c r="F87" i="3" l="1"/>
  <c r="V87" i="3"/>
  <c r="AE87" i="3"/>
  <c r="I87" i="3"/>
  <c r="J87" i="3"/>
  <c r="M87" i="3"/>
  <c r="N87" i="3" s="1"/>
  <c r="L87" i="3" l="1"/>
  <c r="W87" i="3"/>
  <c r="AG88" i="3" l="1"/>
  <c r="U87" i="3"/>
  <c r="E88" i="3" s="1"/>
  <c r="H88" i="3" s="1"/>
  <c r="AH88" i="3"/>
  <c r="Y86" i="3"/>
  <c r="D88" i="3" l="1"/>
  <c r="F88" i="3" s="1"/>
  <c r="K88" i="3"/>
  <c r="G88" i="3" l="1"/>
  <c r="I88" i="3" s="1"/>
  <c r="V88" i="3"/>
  <c r="AE88" i="3"/>
  <c r="M88" i="3" l="1"/>
  <c r="N88" i="3" s="1"/>
  <c r="J88" i="3"/>
  <c r="L88" i="3" s="1"/>
  <c r="W88" i="3"/>
  <c r="AG89" i="3" l="1"/>
  <c r="U88" i="3"/>
  <c r="D89" i="3" s="1"/>
  <c r="AH89" i="3"/>
  <c r="Y87" i="3"/>
  <c r="E89" i="3" l="1"/>
  <c r="H89" i="3" s="1"/>
  <c r="K89" i="3" s="1"/>
  <c r="G89" i="3"/>
  <c r="F89" i="3" l="1"/>
  <c r="V89" i="3"/>
  <c r="AE89" i="3"/>
  <c r="I89" i="3"/>
  <c r="J89" i="3"/>
  <c r="M89" i="3"/>
  <c r="N89" i="3" s="1"/>
  <c r="L89" i="3" l="1"/>
  <c r="W89" i="3"/>
  <c r="AH90" i="3" l="1"/>
  <c r="AG90" i="3"/>
  <c r="U89" i="3"/>
  <c r="D90" i="3" s="1"/>
  <c r="Y88" i="3"/>
  <c r="E90" i="3" l="1"/>
  <c r="H90" i="3" s="1"/>
  <c r="K90" i="3" s="1"/>
  <c r="G90" i="3"/>
  <c r="F90" i="3" l="1"/>
  <c r="V90" i="3"/>
  <c r="AE90" i="3"/>
  <c r="I90" i="3"/>
  <c r="J90" i="3"/>
  <c r="M90" i="3"/>
  <c r="N90" i="3" s="1"/>
  <c r="L90" i="3" l="1"/>
  <c r="W90" i="3"/>
  <c r="U90" i="3" l="1"/>
  <c r="D91" i="3" s="1"/>
  <c r="AG91" i="3"/>
  <c r="AH91" i="3"/>
  <c r="Y89" i="3"/>
  <c r="E91" i="3" l="1"/>
  <c r="H91" i="3" s="1"/>
  <c r="K91" i="3" s="1"/>
  <c r="G91" i="3"/>
  <c r="F91" i="3" l="1"/>
  <c r="I91" i="3"/>
  <c r="J91" i="3"/>
  <c r="M91" i="3"/>
  <c r="N91" i="3" s="1"/>
  <c r="V91" i="3"/>
  <c r="AE91" i="3"/>
  <c r="W91" i="3" l="1"/>
  <c r="L91" i="3"/>
  <c r="U91" i="3" l="1"/>
  <c r="E92" i="3" s="1"/>
  <c r="H92" i="3" s="1"/>
  <c r="AH92" i="3"/>
  <c r="AG92" i="3"/>
  <c r="Y90" i="3"/>
  <c r="D92" i="3" l="1"/>
  <c r="F92" i="3" s="1"/>
  <c r="K92" i="3"/>
  <c r="G92" i="3" l="1"/>
  <c r="I92" i="3" s="1"/>
  <c r="V92" i="3"/>
  <c r="AE92" i="3"/>
  <c r="M92" i="3" l="1"/>
  <c r="N92" i="3" s="1"/>
  <c r="J92" i="3"/>
  <c r="L92" i="3" s="1"/>
  <c r="W92" i="3"/>
  <c r="AG93" i="3" l="1"/>
  <c r="AH93" i="3"/>
  <c r="U92" i="3"/>
  <c r="E93" i="3" s="1"/>
  <c r="H93" i="3" s="1"/>
  <c r="Y91" i="3"/>
  <c r="D93" i="3" l="1"/>
  <c r="F93" i="3" s="1"/>
  <c r="K93" i="3"/>
  <c r="G93" i="3" l="1"/>
  <c r="I93" i="3" s="1"/>
  <c r="V93" i="3"/>
  <c r="AE93" i="3"/>
  <c r="M93" i="3" l="1"/>
  <c r="N93" i="3" s="1"/>
  <c r="J93" i="3"/>
  <c r="L93" i="3" s="1"/>
  <c r="W93" i="3"/>
  <c r="AH94" i="3" l="1"/>
  <c r="AG94" i="3"/>
  <c r="U93" i="3"/>
  <c r="D94" i="3" s="1"/>
  <c r="Y92" i="3"/>
  <c r="G94" i="3" l="1"/>
  <c r="E94" i="3"/>
  <c r="H94" i="3" s="1"/>
  <c r="K94" i="3" l="1"/>
  <c r="I94" i="3"/>
  <c r="J94" i="3"/>
  <c r="M94" i="3"/>
  <c r="N94" i="3" s="1"/>
  <c r="F94" i="3"/>
  <c r="V94" i="3" l="1"/>
  <c r="W94" i="3" s="1"/>
  <c r="AE94" i="3"/>
  <c r="L94" i="3"/>
  <c r="AH95" i="3" l="1"/>
  <c r="U94" i="3"/>
  <c r="E95" i="3" s="1"/>
  <c r="H95" i="3" s="1"/>
  <c r="AG95" i="3"/>
  <c r="Y93" i="3"/>
  <c r="D95" i="3" l="1"/>
  <c r="F95" i="3" s="1"/>
  <c r="K95" i="3"/>
  <c r="G95" i="3" l="1"/>
  <c r="I95" i="3" s="1"/>
  <c r="V95" i="3"/>
  <c r="AE95" i="3"/>
  <c r="M95" i="3" l="1"/>
  <c r="N95" i="3" s="1"/>
  <c r="J95" i="3"/>
  <c r="L95" i="3" s="1"/>
  <c r="W95" i="3"/>
  <c r="AH96" i="3" l="1"/>
  <c r="AG96" i="3"/>
  <c r="U95" i="3"/>
  <c r="E96" i="3" s="1"/>
  <c r="H96" i="3" s="1"/>
  <c r="Y94" i="3"/>
  <c r="K96" i="3" l="1"/>
  <c r="D96" i="3"/>
  <c r="F96" i="3" l="1"/>
  <c r="G96" i="3"/>
  <c r="V96" i="3"/>
  <c r="AE96" i="3"/>
  <c r="I96" i="3" l="1"/>
  <c r="W96" i="3" s="1"/>
  <c r="J96" i="3"/>
  <c r="M96" i="3"/>
  <c r="N96" i="3" s="1"/>
  <c r="L96" i="3" l="1"/>
  <c r="AH97" i="3" l="1"/>
  <c r="AG97" i="3"/>
  <c r="U96" i="3"/>
  <c r="E97" i="3" s="1"/>
  <c r="H97" i="3" s="1"/>
  <c r="Y95" i="3"/>
  <c r="K97" i="3" l="1"/>
  <c r="D97" i="3"/>
  <c r="F97" i="3" l="1"/>
  <c r="G97" i="3"/>
  <c r="V97" i="3"/>
  <c r="AE97" i="3"/>
  <c r="I97" i="3" l="1"/>
  <c r="W97" i="3" s="1"/>
  <c r="J97" i="3"/>
  <c r="M97" i="3"/>
  <c r="N97" i="3" s="1"/>
  <c r="L97" i="3" l="1"/>
  <c r="AH98" i="3" l="1"/>
  <c r="U97" i="3"/>
  <c r="D98" i="3" s="1"/>
  <c r="AG98" i="3"/>
  <c r="Y96" i="3"/>
  <c r="G98" i="3" l="1"/>
  <c r="E98" i="3"/>
  <c r="H98" i="3" s="1"/>
  <c r="K98" i="3" l="1"/>
  <c r="I98" i="3"/>
  <c r="J98" i="3"/>
  <c r="M98" i="3"/>
  <c r="N98" i="3" s="1"/>
  <c r="F98" i="3"/>
  <c r="L98" i="3" l="1"/>
  <c r="V98" i="3"/>
  <c r="W98" i="3" s="1"/>
  <c r="AE98" i="3"/>
  <c r="U98" i="3" l="1"/>
  <c r="E99" i="3" s="1"/>
  <c r="H99" i="3" s="1"/>
  <c r="AH99" i="3"/>
  <c r="AG99" i="3"/>
  <c r="Y97" i="3"/>
  <c r="D99" i="3" l="1"/>
  <c r="F99" i="3" s="1"/>
  <c r="K99" i="3"/>
  <c r="G99" i="3" l="1"/>
  <c r="I99" i="3" s="1"/>
  <c r="V99" i="3"/>
  <c r="AE99" i="3"/>
  <c r="M99" i="3" l="1"/>
  <c r="N99" i="3" s="1"/>
  <c r="W99" i="3"/>
  <c r="J99" i="3"/>
  <c r="L99" i="3" s="1"/>
  <c r="AH100" i="3" l="1"/>
  <c r="AG100" i="3"/>
  <c r="U99" i="3"/>
  <c r="E100" i="3" s="1"/>
  <c r="H100" i="3" s="1"/>
  <c r="Y98" i="3"/>
  <c r="K100" i="3" l="1"/>
  <c r="D100" i="3"/>
  <c r="F100" i="3" l="1"/>
  <c r="G100" i="3"/>
  <c r="V100" i="3"/>
  <c r="AE100" i="3"/>
  <c r="I100" i="3" l="1"/>
  <c r="W100" i="3" s="1"/>
  <c r="J100" i="3"/>
  <c r="M100" i="3"/>
  <c r="N100" i="3" s="1"/>
  <c r="L100" i="3" l="1"/>
  <c r="AG101" i="3" l="1"/>
  <c r="AH101" i="3"/>
  <c r="U100" i="3"/>
  <c r="D101" i="3" s="1"/>
  <c r="Y99" i="3"/>
  <c r="E101" i="3" l="1"/>
  <c r="H101" i="3" s="1"/>
  <c r="K101" i="3" s="1"/>
  <c r="G101" i="3"/>
  <c r="F101" i="3" l="1"/>
  <c r="V101" i="3"/>
  <c r="AE101" i="3"/>
  <c r="I101" i="3"/>
  <c r="J101" i="3"/>
  <c r="M101" i="3"/>
  <c r="N101" i="3" s="1"/>
  <c r="L101" i="3" l="1"/>
  <c r="W101" i="3"/>
  <c r="AH102" i="3" l="1"/>
  <c r="AG102" i="3"/>
  <c r="U101" i="3"/>
  <c r="E102" i="3" s="1"/>
  <c r="H102" i="3" s="1"/>
  <c r="Y100" i="3"/>
  <c r="D102" i="3" l="1"/>
  <c r="F102" i="3" s="1"/>
  <c r="K102" i="3"/>
  <c r="G102" i="3" l="1"/>
  <c r="I102" i="3" s="1"/>
  <c r="V102" i="3"/>
  <c r="AE102" i="3"/>
  <c r="J102" i="3" l="1"/>
  <c r="L102" i="3" s="1"/>
  <c r="M102" i="3"/>
  <c r="N102" i="3" s="1"/>
  <c r="W102" i="3"/>
  <c r="AG103" i="3" l="1"/>
  <c r="AH103" i="3"/>
  <c r="U102" i="3"/>
  <c r="D103" i="3" s="1"/>
  <c r="Y101" i="3"/>
  <c r="E103" i="3" l="1"/>
  <c r="H103" i="3" s="1"/>
  <c r="K103" i="3" s="1"/>
  <c r="G103" i="3"/>
  <c r="F103" i="3" l="1"/>
  <c r="I103" i="3"/>
  <c r="J103" i="3"/>
  <c r="M103" i="3"/>
  <c r="N103" i="3" s="1"/>
  <c r="V103" i="3"/>
  <c r="AE103" i="3"/>
  <c r="W103" i="3" l="1"/>
  <c r="L103" i="3"/>
  <c r="U103" i="3" l="1"/>
  <c r="D104" i="3" s="1"/>
  <c r="AG104" i="3"/>
  <c r="AH104" i="3"/>
  <c r="Y102" i="3"/>
  <c r="E104" i="3" l="1"/>
  <c r="H104" i="3" s="1"/>
  <c r="K104" i="3" s="1"/>
  <c r="G104" i="3"/>
  <c r="F104" i="3" l="1"/>
  <c r="I104" i="3"/>
  <c r="J104" i="3"/>
  <c r="M104" i="3"/>
  <c r="N104" i="3" s="1"/>
  <c r="V104" i="3"/>
  <c r="AE104" i="3"/>
  <c r="W104" i="3" l="1"/>
  <c r="L104" i="3"/>
  <c r="AD104" i="3"/>
  <c r="AG105" i="3" l="1"/>
  <c r="U104" i="3"/>
  <c r="E105" i="3" s="1"/>
  <c r="H105" i="3" s="1"/>
  <c r="AH105" i="3"/>
  <c r="Y103" i="3"/>
  <c r="D105" i="3" l="1"/>
  <c r="G105" i="3" s="1"/>
  <c r="K105" i="3"/>
  <c r="F105" i="3" l="1"/>
  <c r="I105" i="3"/>
  <c r="J105" i="3"/>
  <c r="M105" i="3"/>
  <c r="N105" i="3" s="1"/>
  <c r="V105" i="3"/>
  <c r="AE105" i="3"/>
  <c r="W105" i="3" l="1"/>
  <c r="L105" i="3"/>
  <c r="AH106" i="3" l="1"/>
  <c r="AG106" i="3"/>
  <c r="U105" i="3"/>
  <c r="D106" i="3" s="1"/>
  <c r="Y104" i="3"/>
  <c r="G106" i="3" l="1"/>
  <c r="E106" i="3"/>
  <c r="H106" i="3" s="1"/>
  <c r="I106" i="3" l="1"/>
  <c r="J106" i="3"/>
  <c r="M106" i="3"/>
  <c r="N106" i="3" s="1"/>
  <c r="K106" i="3"/>
  <c r="F106" i="3"/>
  <c r="V106" i="3" l="1"/>
  <c r="W106" i="3" s="1"/>
  <c r="AE106" i="3"/>
  <c r="L106" i="3"/>
  <c r="U106" i="3" l="1"/>
  <c r="E107" i="3" s="1"/>
  <c r="H107" i="3" s="1"/>
  <c r="AH107" i="3"/>
  <c r="AG107" i="3"/>
  <c r="Y105" i="3"/>
  <c r="K107" i="3" l="1"/>
  <c r="D107" i="3"/>
  <c r="F107" i="3" l="1"/>
  <c r="G107" i="3"/>
  <c r="V107" i="3"/>
  <c r="AE107" i="3"/>
  <c r="I107" i="3" l="1"/>
  <c r="W107" i="3" s="1"/>
  <c r="J107" i="3"/>
  <c r="M107" i="3"/>
  <c r="N107" i="3" s="1"/>
  <c r="L107" i="3" l="1"/>
  <c r="AG108" i="3" l="1"/>
  <c r="U107" i="3"/>
  <c r="D108" i="3" s="1"/>
  <c r="AH108" i="3"/>
  <c r="Y106" i="3"/>
  <c r="E108" i="3" l="1"/>
  <c r="H108" i="3" s="1"/>
  <c r="K108" i="3" s="1"/>
  <c r="G108" i="3"/>
  <c r="F108" i="3" l="1"/>
  <c r="I108" i="3"/>
  <c r="J108" i="3"/>
  <c r="M108" i="3"/>
  <c r="N108" i="3" s="1"/>
  <c r="V108" i="3"/>
  <c r="AE108" i="3"/>
  <c r="W108" i="3" l="1"/>
  <c r="L108" i="3"/>
  <c r="U108" i="3" l="1"/>
  <c r="D109" i="3" s="1"/>
  <c r="AH109" i="3"/>
  <c r="AG109" i="3"/>
  <c r="Y107" i="3"/>
  <c r="E109" i="3" l="1"/>
  <c r="H109" i="3" s="1"/>
  <c r="K109" i="3" s="1"/>
  <c r="G109" i="3"/>
  <c r="F109" i="3" l="1"/>
  <c r="I109" i="3"/>
  <c r="J109" i="3"/>
  <c r="M109" i="3"/>
  <c r="N109" i="3" s="1"/>
  <c r="V109" i="3"/>
  <c r="AE109" i="3"/>
  <c r="W109" i="3" l="1"/>
  <c r="L109" i="3"/>
  <c r="AH110" i="3" l="1"/>
  <c r="AG110" i="3"/>
  <c r="U109" i="3"/>
  <c r="E110" i="3" s="1"/>
  <c r="H110" i="3" s="1"/>
  <c r="Y108" i="3"/>
  <c r="D110" i="3" l="1"/>
  <c r="F110" i="3" s="1"/>
  <c r="K110" i="3"/>
  <c r="G110" i="3" l="1"/>
  <c r="I110" i="3" s="1"/>
  <c r="V110" i="3"/>
  <c r="AE110" i="3"/>
  <c r="M110" i="3" l="1"/>
  <c r="N110" i="3" s="1"/>
  <c r="J110" i="3"/>
  <c r="L110" i="3" s="1"/>
  <c r="W110" i="3"/>
  <c r="AG111" i="3" l="1"/>
  <c r="AH111" i="3"/>
  <c r="U110" i="3"/>
  <c r="E111" i="3" s="1"/>
  <c r="H111" i="3" s="1"/>
  <c r="Y109" i="3"/>
  <c r="D111" i="3" l="1"/>
  <c r="F111" i="3" s="1"/>
  <c r="K111" i="3"/>
  <c r="G111" i="3" l="1"/>
  <c r="I111" i="3" s="1"/>
  <c r="V111" i="3"/>
  <c r="AE111" i="3"/>
  <c r="W111" i="3" l="1"/>
  <c r="M111" i="3"/>
  <c r="N111" i="3" s="1"/>
  <c r="J111" i="3"/>
  <c r="L111" i="3" s="1"/>
  <c r="AG112" i="3" l="1"/>
  <c r="U111" i="3"/>
  <c r="E112" i="3" s="1"/>
  <c r="H112" i="3" s="1"/>
  <c r="AH112" i="3"/>
  <c r="Y110" i="3"/>
  <c r="D112" i="3" l="1"/>
  <c r="F112" i="3" s="1"/>
  <c r="K112" i="3"/>
  <c r="G112" i="3" l="1"/>
  <c r="I112" i="3" s="1"/>
  <c r="V112" i="3"/>
  <c r="AE112" i="3"/>
  <c r="J112" i="3" l="1"/>
  <c r="L112" i="3" s="1"/>
  <c r="M112" i="3"/>
  <c r="N112" i="3" s="1"/>
  <c r="W112" i="3"/>
  <c r="U112" i="3" l="1"/>
  <c r="D113" i="3" s="1"/>
  <c r="AH113" i="3"/>
  <c r="AG113" i="3"/>
  <c r="Y111" i="3"/>
  <c r="E113" i="3" l="1"/>
  <c r="H113" i="3" s="1"/>
  <c r="K113" i="3" s="1"/>
  <c r="G113" i="3"/>
  <c r="F113" i="3" l="1"/>
  <c r="I113" i="3"/>
  <c r="J113" i="3"/>
  <c r="M113" i="3"/>
  <c r="N113" i="3" s="1"/>
  <c r="V113" i="3"/>
  <c r="AE113" i="3"/>
  <c r="W113" i="3" l="1"/>
  <c r="L113" i="3"/>
  <c r="AH114" i="3" l="1"/>
  <c r="U113" i="3"/>
  <c r="E114" i="3" s="1"/>
  <c r="H114" i="3" s="1"/>
  <c r="AG114" i="3"/>
  <c r="Y112" i="3"/>
  <c r="D114" i="3" l="1"/>
  <c r="F114" i="3" s="1"/>
  <c r="K114" i="3"/>
  <c r="G114" i="3" l="1"/>
  <c r="I114" i="3" s="1"/>
  <c r="V114" i="3"/>
  <c r="AE114" i="3"/>
  <c r="M114" i="3" l="1"/>
  <c r="N114" i="3" s="1"/>
  <c r="J114" i="3"/>
  <c r="L114" i="3" s="1"/>
  <c r="W114" i="3"/>
  <c r="AG115" i="3" l="1"/>
  <c r="AH115" i="3"/>
  <c r="U114" i="3"/>
  <c r="E115" i="3" s="1"/>
  <c r="H115" i="3" s="1"/>
  <c r="Y113" i="3"/>
  <c r="K115" i="3" l="1"/>
  <c r="D115" i="3"/>
  <c r="V115" i="3" l="1"/>
  <c r="AE115" i="3"/>
  <c r="F115" i="3"/>
  <c r="G115" i="3"/>
  <c r="I115" i="3" l="1"/>
  <c r="W115" i="3" s="1"/>
  <c r="J115" i="3"/>
  <c r="M115" i="3"/>
  <c r="N115" i="3" s="1"/>
  <c r="L115" i="3" l="1"/>
  <c r="AG116" i="3" l="1"/>
  <c r="U115" i="3"/>
  <c r="E116" i="3" s="1"/>
  <c r="H116" i="3" s="1"/>
  <c r="AH116" i="3"/>
  <c r="Y114" i="3"/>
  <c r="D116" i="3" l="1"/>
  <c r="F116" i="3" s="1"/>
  <c r="K116" i="3"/>
  <c r="G116" i="3" l="1"/>
  <c r="I116" i="3" s="1"/>
  <c r="V116" i="3"/>
  <c r="AE116" i="3"/>
  <c r="M116" i="3" l="1"/>
  <c r="N116" i="3" s="1"/>
  <c r="J116" i="3"/>
  <c r="L116" i="3" s="1"/>
  <c r="W116" i="3"/>
  <c r="AH117" i="3" l="1"/>
  <c r="AG117" i="3"/>
  <c r="U116" i="3"/>
  <c r="D117" i="3" s="1"/>
  <c r="Y115" i="3"/>
  <c r="E117" i="3" l="1"/>
  <c r="H117" i="3" s="1"/>
  <c r="K117" i="3" s="1"/>
  <c r="G117" i="3"/>
  <c r="F117" i="3" l="1"/>
  <c r="V117" i="3"/>
  <c r="AE117" i="3"/>
  <c r="I117" i="3"/>
  <c r="J117" i="3"/>
  <c r="M117" i="3"/>
  <c r="N117" i="3" s="1"/>
  <c r="L117" i="3" l="1"/>
  <c r="W117" i="3"/>
  <c r="AH118" i="3" l="1"/>
  <c r="U117" i="3"/>
  <c r="D118" i="3" s="1"/>
  <c r="AG118" i="3"/>
  <c r="Y116" i="3"/>
  <c r="E118" i="3" l="1"/>
  <c r="H118" i="3" s="1"/>
  <c r="K118" i="3" s="1"/>
  <c r="G118" i="3"/>
  <c r="F118" i="3" l="1"/>
  <c r="V118" i="3"/>
  <c r="AE118" i="3"/>
  <c r="I118" i="3"/>
  <c r="J118" i="3"/>
  <c r="M118" i="3"/>
  <c r="N118" i="3" s="1"/>
  <c r="L118" i="3" l="1"/>
  <c r="W118" i="3"/>
  <c r="AG119" i="3" l="1"/>
  <c r="AH119" i="3"/>
  <c r="U118" i="3"/>
  <c r="D119" i="3" s="1"/>
  <c r="Y117" i="3"/>
  <c r="G119" i="3" l="1"/>
  <c r="E119" i="3"/>
  <c r="H119" i="3" s="1"/>
  <c r="K119" i="3" l="1"/>
  <c r="I119" i="3"/>
  <c r="J119" i="3"/>
  <c r="M119" i="3"/>
  <c r="N119" i="3" s="1"/>
  <c r="F119" i="3"/>
  <c r="L119" i="3" l="1"/>
  <c r="V119" i="3"/>
  <c r="W119" i="3" s="1"/>
  <c r="AE119" i="3"/>
  <c r="AG120" i="3" l="1"/>
  <c r="AH120" i="3"/>
  <c r="U119" i="3"/>
  <c r="D120" i="3" s="1"/>
  <c r="Y118" i="3"/>
  <c r="G120" i="3" l="1"/>
  <c r="E120" i="3"/>
  <c r="H120" i="3" s="1"/>
  <c r="I120" i="3" l="1"/>
  <c r="J120" i="3"/>
  <c r="M120" i="3"/>
  <c r="N120" i="3" s="1"/>
  <c r="K120" i="3"/>
  <c r="F120" i="3"/>
  <c r="V120" i="3" l="1"/>
  <c r="W120" i="3" s="1"/>
  <c r="AE120" i="3"/>
  <c r="L120" i="3"/>
  <c r="U120" i="3" l="1"/>
  <c r="E121" i="3" s="1"/>
  <c r="H121" i="3" s="1"/>
  <c r="AG121" i="3"/>
  <c r="AH121" i="3"/>
  <c r="Y119" i="3"/>
  <c r="D121" i="3" l="1"/>
  <c r="F121" i="3" s="1"/>
  <c r="K121" i="3"/>
  <c r="G121" i="3" l="1"/>
  <c r="I121" i="3" s="1"/>
  <c r="V121" i="3"/>
  <c r="AE121" i="3"/>
  <c r="M121" i="3" l="1"/>
  <c r="N121" i="3" s="1"/>
  <c r="J121" i="3"/>
  <c r="L121" i="3" s="1"/>
  <c r="W121" i="3"/>
  <c r="AH122" i="3" l="1"/>
  <c r="AG122" i="3"/>
  <c r="U121" i="3"/>
  <c r="D122" i="3" s="1"/>
  <c r="Y120" i="3"/>
  <c r="E122" i="3" l="1"/>
  <c r="H122" i="3" s="1"/>
  <c r="K122" i="3" s="1"/>
  <c r="G122" i="3"/>
  <c r="F122" i="3" l="1"/>
  <c r="I122" i="3"/>
  <c r="J122" i="3"/>
  <c r="M122" i="3"/>
  <c r="N122" i="3" s="1"/>
  <c r="V122" i="3"/>
  <c r="AE122" i="3"/>
  <c r="W122" i="3" l="1"/>
  <c r="L122" i="3"/>
  <c r="AH123" i="3" l="1"/>
  <c r="AG123" i="3"/>
  <c r="U122" i="3"/>
  <c r="D123" i="3" s="1"/>
  <c r="Y121" i="3"/>
  <c r="G123" i="3" l="1"/>
  <c r="E123" i="3"/>
  <c r="H123" i="3" s="1"/>
  <c r="K123" i="3" l="1"/>
  <c r="I123" i="3"/>
  <c r="J123" i="3"/>
  <c r="M123" i="3"/>
  <c r="N123" i="3" s="1"/>
  <c r="F123" i="3"/>
  <c r="L123" i="3" l="1"/>
  <c r="V123" i="3"/>
  <c r="W123" i="3" s="1"/>
  <c r="AE123" i="3"/>
  <c r="AH124" i="3" l="1"/>
  <c r="U123" i="3"/>
  <c r="E124" i="3" s="1"/>
  <c r="H124" i="3" s="1"/>
  <c r="AG124" i="3"/>
  <c r="Y122" i="3"/>
  <c r="D124" i="3" l="1"/>
  <c r="G124" i="3" s="1"/>
  <c r="K124" i="3"/>
  <c r="F124" i="3" l="1"/>
  <c r="I124" i="3"/>
  <c r="J124" i="3"/>
  <c r="M124" i="3"/>
  <c r="N124" i="3" s="1"/>
  <c r="V124" i="3"/>
  <c r="AE124" i="3"/>
  <c r="W124" i="3" l="1"/>
  <c r="L124" i="3"/>
  <c r="U124" i="3" l="1"/>
  <c r="E125" i="3" s="1"/>
  <c r="H125" i="3" s="1"/>
  <c r="AH125" i="3"/>
  <c r="AG125" i="3"/>
  <c r="Y123" i="3"/>
  <c r="D125" i="3" l="1"/>
  <c r="F125" i="3" s="1"/>
  <c r="K125" i="3"/>
  <c r="G125" i="3" l="1"/>
  <c r="I125" i="3" s="1"/>
  <c r="V125" i="3"/>
  <c r="AE125" i="3"/>
  <c r="J125" i="3" l="1"/>
  <c r="L125" i="3" s="1"/>
  <c r="M125" i="3"/>
  <c r="N125" i="3" s="1"/>
  <c r="W125" i="3"/>
  <c r="AH126" i="3" l="1"/>
  <c r="AG126" i="3"/>
  <c r="U125" i="3"/>
  <c r="E126" i="3" s="1"/>
  <c r="H126" i="3" s="1"/>
  <c r="Y124" i="3"/>
  <c r="K126" i="3" l="1"/>
  <c r="D126" i="3"/>
  <c r="V126" i="3" l="1"/>
  <c r="AE126" i="3"/>
  <c r="F126" i="3"/>
  <c r="G126" i="3"/>
  <c r="I126" i="3" l="1"/>
  <c r="W126" i="3" s="1"/>
  <c r="J126" i="3"/>
  <c r="M126" i="3"/>
  <c r="N126" i="3" s="1"/>
  <c r="L126" i="3" l="1"/>
  <c r="U126" i="3" l="1"/>
  <c r="E127" i="3" s="1"/>
  <c r="H127" i="3" s="1"/>
  <c r="AG127" i="3"/>
  <c r="AH127" i="3"/>
  <c r="Y125" i="3"/>
  <c r="D127" i="3" l="1"/>
  <c r="F127" i="3" s="1"/>
  <c r="K127" i="3"/>
  <c r="G127" i="3" l="1"/>
  <c r="J127" i="3" s="1"/>
  <c r="V127" i="3"/>
  <c r="AE127" i="3"/>
  <c r="M127" i="3" l="1"/>
  <c r="N127" i="3" s="1"/>
  <c r="I127" i="3"/>
  <c r="W127" i="3" s="1"/>
  <c r="L127" i="3"/>
  <c r="AG128" i="3" l="1"/>
  <c r="AH128" i="3"/>
  <c r="U127" i="3"/>
  <c r="D128" i="3" s="1"/>
  <c r="Y126" i="3"/>
  <c r="E128" i="3" l="1"/>
  <c r="H128" i="3" s="1"/>
  <c r="K128" i="3" s="1"/>
  <c r="G128" i="3"/>
  <c r="F128" i="3" l="1"/>
  <c r="I128" i="3"/>
  <c r="J128" i="3"/>
  <c r="M128" i="3"/>
  <c r="N128" i="3" s="1"/>
  <c r="V128" i="3"/>
  <c r="AE128" i="3"/>
  <c r="W128" i="3" l="1"/>
  <c r="L128" i="3"/>
  <c r="AH129" i="3" l="1"/>
  <c r="U128" i="3"/>
  <c r="D129" i="3" s="1"/>
  <c r="AG129" i="3"/>
  <c r="Y127" i="3"/>
  <c r="E129" i="3" l="1"/>
  <c r="H129" i="3" s="1"/>
  <c r="K129" i="3" s="1"/>
  <c r="G129" i="3"/>
  <c r="F129" i="3" l="1"/>
  <c r="V129" i="3"/>
  <c r="AE129" i="3"/>
  <c r="I129" i="3"/>
  <c r="J129" i="3"/>
  <c r="M129" i="3"/>
  <c r="N129" i="3" s="1"/>
  <c r="L129" i="3" l="1"/>
  <c r="W129" i="3"/>
  <c r="AH130" i="3" l="1"/>
  <c r="AG130" i="3"/>
  <c r="U129" i="3"/>
  <c r="D130" i="3" s="1"/>
  <c r="Y128" i="3"/>
  <c r="E130" i="3" l="1"/>
  <c r="H130" i="3" s="1"/>
  <c r="K130" i="3" s="1"/>
  <c r="G130" i="3"/>
  <c r="F130" i="3" l="1"/>
  <c r="V130" i="3"/>
  <c r="AE130" i="3"/>
  <c r="I130" i="3"/>
  <c r="J130" i="3"/>
  <c r="M130" i="3"/>
  <c r="N130" i="3" s="1"/>
  <c r="L130" i="3" l="1"/>
  <c r="W130" i="3"/>
  <c r="AG131" i="3" l="1"/>
  <c r="AH131" i="3"/>
  <c r="U130" i="3"/>
  <c r="E131" i="3" s="1"/>
  <c r="H131" i="3" s="1"/>
  <c r="Y129" i="3"/>
  <c r="K131" i="3" l="1"/>
  <c r="D131" i="3"/>
  <c r="V131" i="3" l="1"/>
  <c r="AE131" i="3"/>
  <c r="F131" i="3"/>
  <c r="G131" i="3"/>
  <c r="I131" i="3" l="1"/>
  <c r="W131" i="3" s="1"/>
  <c r="J131" i="3"/>
  <c r="M131" i="3"/>
  <c r="N131" i="3" s="1"/>
  <c r="L131" i="3" l="1"/>
  <c r="AG132" i="3" l="1"/>
  <c r="AH132" i="3"/>
  <c r="U131" i="3"/>
  <c r="E132" i="3" s="1"/>
  <c r="H132" i="3" s="1"/>
  <c r="Y130" i="3"/>
  <c r="D132" i="3" l="1"/>
  <c r="F132" i="3" s="1"/>
  <c r="K132" i="3"/>
  <c r="G132" i="3" l="1"/>
  <c r="I132" i="3" s="1"/>
  <c r="V132" i="3"/>
  <c r="AE132" i="3"/>
  <c r="M132" i="3" l="1"/>
  <c r="N132" i="3" s="1"/>
  <c r="J132" i="3"/>
  <c r="L132" i="3" s="1"/>
  <c r="W132" i="3"/>
  <c r="U132" i="3" l="1"/>
  <c r="E133" i="3" s="1"/>
  <c r="H133" i="3" s="1"/>
  <c r="AH133" i="3"/>
  <c r="AG133" i="3"/>
  <c r="Y131" i="3"/>
  <c r="D133" i="3" l="1"/>
  <c r="F133" i="3" s="1"/>
  <c r="K133" i="3"/>
  <c r="G133" i="3" l="1"/>
  <c r="I133" i="3" s="1"/>
  <c r="V133" i="3"/>
  <c r="AE133" i="3"/>
  <c r="M133" i="3" l="1"/>
  <c r="N133" i="3" s="1"/>
  <c r="J133" i="3"/>
  <c r="L133" i="3" s="1"/>
  <c r="W133" i="3"/>
  <c r="AH134" i="3" l="1"/>
  <c r="U133" i="3"/>
  <c r="E134" i="3" s="1"/>
  <c r="H134" i="3" s="1"/>
  <c r="AG134" i="3"/>
  <c r="Y132" i="3"/>
  <c r="D134" i="3" l="1"/>
  <c r="F134" i="3" s="1"/>
  <c r="K134" i="3"/>
  <c r="G134" i="3" l="1"/>
  <c r="I134" i="3" s="1"/>
  <c r="V134" i="3"/>
  <c r="AE134" i="3"/>
  <c r="M134" i="3" l="1"/>
  <c r="N134" i="3" s="1"/>
  <c r="J134" i="3"/>
  <c r="L134" i="3" s="1"/>
  <c r="W134" i="3"/>
  <c r="AH135" i="3" l="1"/>
  <c r="U134" i="3"/>
  <c r="E135" i="3" s="1"/>
  <c r="H135" i="3" s="1"/>
  <c r="AG135" i="3"/>
  <c r="Y133" i="3"/>
  <c r="D135" i="3" l="1"/>
  <c r="F135" i="3" s="1"/>
  <c r="K135" i="3"/>
  <c r="G135" i="3" l="1"/>
  <c r="I135" i="3" s="1"/>
  <c r="V135" i="3"/>
  <c r="AE135" i="3"/>
  <c r="M135" i="3" l="1"/>
  <c r="N135" i="3" s="1"/>
  <c r="J135" i="3"/>
  <c r="L135" i="3" s="1"/>
  <c r="W135" i="3"/>
  <c r="AG136" i="3" l="1"/>
  <c r="AH136" i="3"/>
  <c r="U135" i="3"/>
  <c r="D136" i="3" s="1"/>
  <c r="Y134" i="3"/>
  <c r="G136" i="3" l="1"/>
  <c r="E136" i="3"/>
  <c r="H136" i="3" s="1"/>
  <c r="K136" i="3" l="1"/>
  <c r="I136" i="3"/>
  <c r="J136" i="3"/>
  <c r="M136" i="3"/>
  <c r="N136" i="3" s="1"/>
  <c r="F136" i="3"/>
  <c r="L136" i="3" l="1"/>
  <c r="V136" i="3"/>
  <c r="W136" i="3" s="1"/>
  <c r="AE136" i="3"/>
  <c r="AG137" i="3" l="1"/>
  <c r="AH137" i="3"/>
  <c r="U136" i="3"/>
  <c r="D137" i="3" s="1"/>
  <c r="Y135" i="3"/>
  <c r="E137" i="3" l="1"/>
  <c r="H137" i="3" s="1"/>
  <c r="K137" i="3" s="1"/>
  <c r="G137" i="3"/>
  <c r="F137" i="3" l="1"/>
  <c r="V137" i="3"/>
  <c r="AE137" i="3"/>
  <c r="I137" i="3"/>
  <c r="J137" i="3"/>
  <c r="M137" i="3"/>
  <c r="N137" i="3" s="1"/>
  <c r="L137" i="3" l="1"/>
  <c r="W137" i="3"/>
  <c r="AG138" i="3" l="1"/>
  <c r="U137" i="3"/>
  <c r="E138" i="3" s="1"/>
  <c r="H138" i="3" s="1"/>
  <c r="AH138" i="3"/>
  <c r="Y136" i="3"/>
  <c r="D138" i="3" l="1"/>
  <c r="F138" i="3" s="1"/>
  <c r="K138" i="3"/>
  <c r="G138" i="3" l="1"/>
  <c r="I138" i="3" s="1"/>
  <c r="V138" i="3"/>
  <c r="AE138" i="3"/>
  <c r="M138" i="3" l="1"/>
  <c r="N138" i="3" s="1"/>
  <c r="J138" i="3"/>
  <c r="L138" i="3" s="1"/>
  <c r="W138" i="3"/>
  <c r="AG139" i="3" l="1"/>
  <c r="U138" i="3"/>
  <c r="E139" i="3" s="1"/>
  <c r="H139" i="3" s="1"/>
  <c r="AH139" i="3"/>
  <c r="Y137" i="3"/>
  <c r="D139" i="3" l="1"/>
  <c r="F139" i="3" s="1"/>
  <c r="K139" i="3"/>
  <c r="G139" i="3" l="1"/>
  <c r="I139" i="3" s="1"/>
  <c r="V139" i="3"/>
  <c r="AE139" i="3"/>
  <c r="M139" i="3" l="1"/>
  <c r="N139" i="3" s="1"/>
  <c r="J139" i="3"/>
  <c r="L139" i="3" s="1"/>
  <c r="W139" i="3"/>
  <c r="AH140" i="3" l="1"/>
  <c r="AG140" i="3"/>
  <c r="U139" i="3"/>
  <c r="D140" i="3" s="1"/>
  <c r="Y138" i="3"/>
  <c r="E140" i="3" l="1"/>
  <c r="H140" i="3" s="1"/>
  <c r="K140" i="3" s="1"/>
  <c r="G140" i="3"/>
  <c r="F140" i="3" l="1"/>
  <c r="V140" i="3"/>
  <c r="AE140" i="3"/>
  <c r="I140" i="3"/>
  <c r="J140" i="3"/>
  <c r="M140" i="3"/>
  <c r="N140" i="3" s="1"/>
  <c r="L140" i="3" l="1"/>
  <c r="W140" i="3"/>
  <c r="AH141" i="3" l="1"/>
  <c r="AG141" i="3"/>
  <c r="U140" i="3"/>
  <c r="D141" i="3" s="1"/>
  <c r="Y139" i="3"/>
  <c r="E141" i="3" l="1"/>
  <c r="H141" i="3" s="1"/>
  <c r="K141" i="3" s="1"/>
  <c r="G141" i="3"/>
  <c r="F141" i="3" l="1"/>
  <c r="I141" i="3"/>
  <c r="J141" i="3"/>
  <c r="M141" i="3"/>
  <c r="N141" i="3" s="1"/>
  <c r="V141" i="3"/>
  <c r="AE141" i="3"/>
  <c r="W141" i="3" l="1"/>
  <c r="L141" i="3"/>
  <c r="AH142" i="3" l="1"/>
  <c r="AG142" i="3"/>
  <c r="U141" i="3"/>
  <c r="D142" i="3" s="1"/>
  <c r="Y140" i="3"/>
  <c r="E142" i="3" l="1"/>
  <c r="H142" i="3" s="1"/>
  <c r="K142" i="3" s="1"/>
  <c r="G142" i="3"/>
  <c r="F142" i="3" l="1"/>
  <c r="I142" i="3"/>
  <c r="J142" i="3"/>
  <c r="M142" i="3"/>
  <c r="N142" i="3" s="1"/>
  <c r="V142" i="3"/>
  <c r="AE142" i="3"/>
  <c r="W142" i="3" l="1"/>
  <c r="L142" i="3"/>
  <c r="U142" i="3" l="1"/>
  <c r="E143" i="3" s="1"/>
  <c r="H143" i="3" s="1"/>
  <c r="AG143" i="3"/>
  <c r="AH143" i="3"/>
  <c r="Y141" i="3"/>
  <c r="D143" i="3" l="1"/>
  <c r="F143" i="3" s="1"/>
  <c r="K143" i="3"/>
  <c r="G143" i="3" l="1"/>
  <c r="I143" i="3" s="1"/>
  <c r="V143" i="3"/>
  <c r="AE143" i="3"/>
  <c r="M143" i="3" l="1"/>
  <c r="N143" i="3" s="1"/>
  <c r="J143" i="3"/>
  <c r="L143" i="3" s="1"/>
  <c r="W143" i="3"/>
  <c r="AH144" i="3" l="1"/>
  <c r="U143" i="3"/>
  <c r="E144" i="3" s="1"/>
  <c r="H144" i="3" s="1"/>
  <c r="AG144" i="3"/>
  <c r="Y142" i="3"/>
  <c r="D144" i="3" l="1"/>
  <c r="F144" i="3" s="1"/>
  <c r="K144" i="3"/>
  <c r="G144" i="3" l="1"/>
  <c r="I144" i="3" s="1"/>
  <c r="V144" i="3"/>
  <c r="AE144" i="3"/>
  <c r="M144" i="3" l="1"/>
  <c r="N144" i="3" s="1"/>
  <c r="J144" i="3"/>
  <c r="L144" i="3" s="1"/>
  <c r="W144" i="3"/>
  <c r="AG145" i="3" l="1"/>
  <c r="AH145" i="3"/>
  <c r="U144" i="3"/>
  <c r="D145" i="3" s="1"/>
  <c r="Y143" i="3"/>
  <c r="E145" i="3" l="1"/>
  <c r="H145" i="3" s="1"/>
  <c r="K145" i="3" s="1"/>
  <c r="G145" i="3"/>
  <c r="F145" i="3" l="1"/>
  <c r="V145" i="3"/>
  <c r="AE145" i="3"/>
  <c r="I145" i="3"/>
  <c r="J145" i="3"/>
  <c r="M145" i="3"/>
  <c r="N145" i="3" s="1"/>
  <c r="L145" i="3" l="1"/>
  <c r="W145" i="3"/>
  <c r="AH146" i="3" l="1"/>
  <c r="U145" i="3"/>
  <c r="E146" i="3" s="1"/>
  <c r="H146" i="3" s="1"/>
  <c r="AG146" i="3"/>
  <c r="Y144" i="3"/>
  <c r="D146" i="3" l="1"/>
  <c r="F146" i="3" s="1"/>
  <c r="K146" i="3"/>
  <c r="G146" i="3" l="1"/>
  <c r="I146" i="3" s="1"/>
  <c r="V146" i="3"/>
  <c r="AE146" i="3"/>
  <c r="M146" i="3" l="1"/>
  <c r="N146" i="3" s="1"/>
  <c r="J146" i="3"/>
  <c r="L146" i="3" s="1"/>
  <c r="W146" i="3"/>
  <c r="AG147" i="3" l="1"/>
  <c r="AH147" i="3"/>
  <c r="U146" i="3"/>
  <c r="E147" i="3" s="1"/>
  <c r="H147" i="3" s="1"/>
  <c r="Y145" i="3"/>
  <c r="K147" i="3" l="1"/>
  <c r="D147" i="3"/>
  <c r="F147" i="3" l="1"/>
  <c r="G147" i="3"/>
  <c r="V147" i="3"/>
  <c r="AE147" i="3"/>
  <c r="I147" i="3" l="1"/>
  <c r="W147" i="3" s="1"/>
  <c r="J147" i="3"/>
  <c r="M147" i="3"/>
  <c r="N147" i="3" s="1"/>
  <c r="L147" i="3" l="1"/>
  <c r="U147" i="3" l="1"/>
  <c r="E148" i="3" s="1"/>
  <c r="H148" i="3" s="1"/>
  <c r="AH148" i="3"/>
  <c r="AG148" i="3"/>
  <c r="Y146" i="3"/>
  <c r="D148" i="3" l="1"/>
  <c r="F148" i="3" s="1"/>
  <c r="K148" i="3"/>
  <c r="G148" i="3" l="1"/>
  <c r="M148" i="3" s="1"/>
  <c r="N148" i="3" s="1"/>
  <c r="V148" i="3"/>
  <c r="AE148" i="3"/>
  <c r="J148" i="3" l="1"/>
  <c r="L148" i="3" s="1"/>
  <c r="I148" i="3"/>
  <c r="W148" i="3" s="1"/>
  <c r="U148" i="3" l="1"/>
  <c r="D149" i="3" s="1"/>
  <c r="AH149" i="3"/>
  <c r="AG149" i="3"/>
  <c r="Y147" i="3"/>
  <c r="E149" i="3" l="1"/>
  <c r="H149" i="3" s="1"/>
  <c r="K149" i="3" s="1"/>
  <c r="G149" i="3"/>
  <c r="F149" i="3" l="1"/>
  <c r="I149" i="3"/>
  <c r="J149" i="3"/>
  <c r="M149" i="3"/>
  <c r="N149" i="3" s="1"/>
  <c r="V149" i="3"/>
  <c r="W149" i="3" s="1"/>
  <c r="AE149" i="3"/>
  <c r="L149" i="3" l="1"/>
  <c r="AG150" i="3" l="1"/>
  <c r="U149" i="3"/>
  <c r="E150" i="3" s="1"/>
  <c r="H150" i="3" s="1"/>
  <c r="AH150" i="3"/>
  <c r="Y148" i="3"/>
  <c r="D150" i="3" l="1"/>
  <c r="F150" i="3" s="1"/>
  <c r="K150" i="3"/>
  <c r="G150" i="3" l="1"/>
  <c r="M150" i="3" s="1"/>
  <c r="N150" i="3" s="1"/>
  <c r="V150" i="3"/>
  <c r="AE150" i="3"/>
  <c r="J150" i="3" l="1"/>
  <c r="L150" i="3" s="1"/>
  <c r="I150" i="3"/>
  <c r="W150" i="3" s="1"/>
  <c r="AG151" i="3" l="1"/>
  <c r="U150" i="3"/>
  <c r="E151" i="3" s="1"/>
  <c r="H151" i="3" s="1"/>
  <c r="AH151" i="3"/>
  <c r="Y149" i="3"/>
  <c r="D151" i="3" l="1"/>
  <c r="F151" i="3" s="1"/>
  <c r="K151" i="3"/>
  <c r="G151" i="3" l="1"/>
  <c r="I151" i="3" s="1"/>
  <c r="V151" i="3"/>
  <c r="AE151" i="3"/>
  <c r="M151" i="3" l="1"/>
  <c r="N151" i="3" s="1"/>
  <c r="J151" i="3"/>
  <c r="L151" i="3" s="1"/>
  <c r="W151" i="3"/>
  <c r="U151" i="3" l="1"/>
  <c r="D152" i="3" s="1"/>
  <c r="AG152" i="3"/>
  <c r="AH152" i="3"/>
  <c r="Y150" i="3"/>
  <c r="E152" i="3" l="1"/>
  <c r="H152" i="3" s="1"/>
  <c r="K152" i="3" s="1"/>
  <c r="G152" i="3"/>
  <c r="F152" i="3" l="1"/>
  <c r="V152" i="3"/>
  <c r="AE152" i="3"/>
  <c r="I152" i="3"/>
  <c r="J152" i="3"/>
  <c r="M152" i="3"/>
  <c r="N152" i="3" s="1"/>
  <c r="L152" i="3" l="1"/>
  <c r="W152" i="3"/>
  <c r="U152" i="3" l="1"/>
  <c r="D153" i="3" s="1"/>
  <c r="AG153" i="3"/>
  <c r="AH153" i="3"/>
  <c r="Y151" i="3"/>
  <c r="E153" i="3" l="1"/>
  <c r="H153" i="3" s="1"/>
  <c r="K153" i="3" s="1"/>
  <c r="G153" i="3"/>
  <c r="F153" i="3" l="1"/>
  <c r="I153" i="3"/>
  <c r="J153" i="3"/>
  <c r="M153" i="3"/>
  <c r="N153" i="3" s="1"/>
  <c r="V153" i="3"/>
  <c r="AE153" i="3"/>
  <c r="W153" i="3" l="1"/>
  <c r="L153" i="3"/>
  <c r="AH154" i="3" l="1"/>
  <c r="AG154" i="3"/>
  <c r="U153" i="3"/>
  <c r="E154" i="3" s="1"/>
  <c r="H154" i="3" s="1"/>
  <c r="Y152" i="3"/>
  <c r="D154" i="3" l="1"/>
  <c r="F154" i="3" s="1"/>
  <c r="K154" i="3"/>
  <c r="G154" i="3" l="1"/>
  <c r="I154" i="3" s="1"/>
  <c r="V154" i="3"/>
  <c r="AE154" i="3"/>
  <c r="M154" i="3" l="1"/>
  <c r="N154" i="3" s="1"/>
  <c r="J154" i="3"/>
  <c r="L154" i="3" s="1"/>
  <c r="W154" i="3"/>
  <c r="AH155" i="3" l="1"/>
  <c r="AG155" i="3"/>
  <c r="U154" i="3"/>
  <c r="D155" i="3" s="1"/>
  <c r="Y153" i="3"/>
  <c r="E155" i="3" l="1"/>
  <c r="H155" i="3" s="1"/>
  <c r="K155" i="3" s="1"/>
  <c r="G155" i="3"/>
  <c r="F155" i="3" l="1"/>
  <c r="V155" i="3"/>
  <c r="AE155" i="3"/>
  <c r="I155" i="3"/>
  <c r="J155" i="3"/>
  <c r="M155" i="3"/>
  <c r="N155" i="3" s="1"/>
  <c r="W155" i="3" l="1"/>
  <c r="L155" i="3"/>
  <c r="AH156" i="3" l="1"/>
  <c r="AG156" i="3"/>
  <c r="U155" i="3"/>
  <c r="E156" i="3" s="1"/>
  <c r="H156" i="3" s="1"/>
  <c r="Y154" i="3"/>
  <c r="D156" i="3" l="1"/>
  <c r="F156" i="3" s="1"/>
  <c r="K156" i="3"/>
  <c r="G156" i="3" l="1"/>
  <c r="I156" i="3" s="1"/>
  <c r="V156" i="3"/>
  <c r="AE156" i="3"/>
  <c r="M156" i="3" l="1"/>
  <c r="N156" i="3" s="1"/>
  <c r="J156" i="3"/>
  <c r="L156" i="3" s="1"/>
  <c r="W156" i="3"/>
  <c r="AG157" i="3" l="1"/>
  <c r="AH157" i="3"/>
  <c r="U156" i="3"/>
  <c r="E157" i="3" s="1"/>
  <c r="H157" i="3" s="1"/>
  <c r="Y155" i="3"/>
  <c r="D157" i="3" l="1"/>
  <c r="F157" i="3" s="1"/>
  <c r="K157" i="3"/>
  <c r="G157" i="3" l="1"/>
  <c r="I157" i="3" s="1"/>
  <c r="V157" i="3"/>
  <c r="AE157" i="3"/>
  <c r="M157" i="3" l="1"/>
  <c r="N157" i="3" s="1"/>
  <c r="J157" i="3"/>
  <c r="L157" i="3" s="1"/>
  <c r="W157" i="3"/>
  <c r="AG158" i="3" l="1"/>
  <c r="AH158" i="3"/>
  <c r="U157" i="3"/>
  <c r="D158" i="3" s="1"/>
  <c r="Y156" i="3"/>
  <c r="E158" i="3" l="1"/>
  <c r="H158" i="3" s="1"/>
  <c r="K158" i="3" s="1"/>
  <c r="G158" i="3"/>
  <c r="F158" i="3" l="1"/>
  <c r="V158" i="3"/>
  <c r="AE158" i="3"/>
  <c r="I158" i="3"/>
  <c r="J158" i="3"/>
  <c r="M158" i="3"/>
  <c r="N158" i="3" s="1"/>
  <c r="L158" i="3" l="1"/>
  <c r="W158" i="3"/>
  <c r="AH159" i="3" l="1"/>
  <c r="AG159" i="3"/>
  <c r="U158" i="3"/>
  <c r="D159" i="3" s="1"/>
  <c r="Y157" i="3"/>
  <c r="E159" i="3" l="1"/>
  <c r="H159" i="3" s="1"/>
  <c r="K159" i="3" s="1"/>
  <c r="G159" i="3"/>
  <c r="F159" i="3" l="1"/>
  <c r="V159" i="3"/>
  <c r="AE159" i="3"/>
  <c r="I159" i="3"/>
  <c r="J159" i="3"/>
  <c r="M159" i="3"/>
  <c r="N159" i="3" s="1"/>
  <c r="L159" i="3" l="1"/>
  <c r="W159" i="3"/>
  <c r="AG160" i="3" l="1"/>
  <c r="AH160" i="3"/>
  <c r="U159" i="3"/>
  <c r="E160" i="3" s="1"/>
  <c r="H160" i="3" s="1"/>
  <c r="Y158" i="3"/>
  <c r="D160" i="3" l="1"/>
  <c r="F160" i="3" s="1"/>
  <c r="K160" i="3"/>
  <c r="G160" i="3" l="1"/>
  <c r="I160" i="3" s="1"/>
  <c r="V160" i="3"/>
  <c r="AE160" i="3"/>
  <c r="W160" i="3" l="1"/>
  <c r="M160" i="3"/>
  <c r="N160" i="3" s="1"/>
  <c r="J160" i="3"/>
  <c r="L160" i="3" s="1"/>
  <c r="AG161" i="3" l="1"/>
  <c r="AH161" i="3"/>
  <c r="U160" i="3"/>
  <c r="E161" i="3" s="1"/>
  <c r="H161" i="3" s="1"/>
  <c r="Y159" i="3"/>
  <c r="D161" i="3" l="1"/>
  <c r="F161" i="3" s="1"/>
  <c r="K161" i="3"/>
  <c r="G161" i="3" l="1"/>
  <c r="J161" i="3" s="1"/>
  <c r="V161" i="3"/>
  <c r="AE161" i="3"/>
  <c r="I161" i="3" l="1"/>
  <c r="W161" i="3" s="1"/>
  <c r="M161" i="3"/>
  <c r="N161" i="3" s="1"/>
  <c r="L161" i="3"/>
  <c r="AG162" i="3" l="1"/>
  <c r="AH162" i="3"/>
  <c r="U161" i="3"/>
  <c r="E162" i="3" s="1"/>
  <c r="H162" i="3" s="1"/>
  <c r="Y160" i="3"/>
  <c r="D162" i="3" l="1"/>
  <c r="F162" i="3" s="1"/>
  <c r="K162" i="3"/>
  <c r="G162" i="3" l="1"/>
  <c r="I162" i="3" s="1"/>
  <c r="V162" i="3"/>
  <c r="AE162" i="3"/>
  <c r="M162" i="3" l="1"/>
  <c r="N162" i="3" s="1"/>
  <c r="J162" i="3"/>
  <c r="L162" i="3" s="1"/>
  <c r="W162" i="3"/>
  <c r="U162" i="3" l="1"/>
  <c r="E163" i="3" s="1"/>
  <c r="H163" i="3" s="1"/>
  <c r="AH163" i="3"/>
  <c r="AG163" i="3"/>
  <c r="Y161" i="3"/>
  <c r="D163" i="3" l="1"/>
  <c r="F163" i="3" s="1"/>
  <c r="K163" i="3"/>
  <c r="G163" i="3" l="1"/>
  <c r="I163" i="3" s="1"/>
  <c r="V163" i="3"/>
  <c r="AE163" i="3"/>
  <c r="M163" i="3" l="1"/>
  <c r="N163" i="3" s="1"/>
  <c r="J163" i="3"/>
  <c r="L163" i="3" s="1"/>
  <c r="W163" i="3"/>
  <c r="AH164" i="3" l="1"/>
  <c r="AG164" i="3"/>
  <c r="U163" i="3"/>
  <c r="D164" i="3" s="1"/>
  <c r="Y162" i="3"/>
  <c r="E164" i="3" l="1"/>
  <c r="H164" i="3" s="1"/>
  <c r="K164" i="3" s="1"/>
  <c r="G164" i="3"/>
  <c r="F164" i="3" l="1"/>
  <c r="V164" i="3"/>
  <c r="AE164" i="3"/>
  <c r="I164" i="3"/>
  <c r="J164" i="3"/>
  <c r="M164" i="3"/>
  <c r="N164" i="3" s="1"/>
  <c r="L164" i="3" l="1"/>
  <c r="W164" i="3"/>
  <c r="AH165" i="3" l="1"/>
  <c r="AG165" i="3"/>
  <c r="U164" i="3"/>
  <c r="D165" i="3" s="1"/>
  <c r="Y163" i="3"/>
  <c r="E165" i="3" l="1"/>
  <c r="H165" i="3" s="1"/>
  <c r="K165" i="3" s="1"/>
  <c r="G165" i="3"/>
  <c r="F165" i="3" l="1"/>
  <c r="V165" i="3"/>
  <c r="AE165" i="3"/>
  <c r="I165" i="3"/>
  <c r="J165" i="3"/>
  <c r="M165" i="3"/>
  <c r="N165" i="3" s="1"/>
  <c r="L165" i="3" l="1"/>
  <c r="W165" i="3"/>
  <c r="AG166" i="3" l="1"/>
  <c r="U165" i="3"/>
  <c r="E166" i="3" s="1"/>
  <c r="H166" i="3" s="1"/>
  <c r="AH166" i="3"/>
  <c r="Y164" i="3"/>
  <c r="D166" i="3" l="1"/>
  <c r="F166" i="3" s="1"/>
  <c r="K166" i="3"/>
  <c r="G166" i="3" l="1"/>
  <c r="I166" i="3" s="1"/>
  <c r="V166" i="3"/>
  <c r="AE166" i="3"/>
  <c r="M166" i="3" l="1"/>
  <c r="N166" i="3" s="1"/>
  <c r="J166" i="3"/>
  <c r="L166" i="3" s="1"/>
  <c r="W166" i="3"/>
  <c r="AH167" i="3" l="1"/>
  <c r="AG167" i="3"/>
  <c r="U166" i="3"/>
  <c r="E167" i="3" s="1"/>
  <c r="H167" i="3" s="1"/>
  <c r="Y165" i="3"/>
  <c r="D167" i="3" l="1"/>
  <c r="F167" i="3" s="1"/>
  <c r="K167" i="3"/>
  <c r="G167" i="3" l="1"/>
  <c r="I167" i="3" s="1"/>
  <c r="V167" i="3"/>
  <c r="AE167" i="3"/>
  <c r="M167" i="3" l="1"/>
  <c r="N167" i="3" s="1"/>
  <c r="W167" i="3"/>
  <c r="J167" i="3"/>
  <c r="L167" i="3" s="1"/>
  <c r="AH168" i="3" l="1"/>
  <c r="AG168" i="3"/>
  <c r="U167" i="3"/>
  <c r="E168" i="3" s="1"/>
  <c r="H168" i="3" s="1"/>
  <c r="Y166" i="3"/>
  <c r="K168" i="3" l="1"/>
  <c r="D168" i="3"/>
  <c r="F168" i="3" l="1"/>
  <c r="G168" i="3"/>
  <c r="V168" i="3"/>
  <c r="AE168" i="3"/>
  <c r="I168" i="3" l="1"/>
  <c r="W168" i="3" s="1"/>
  <c r="J168" i="3"/>
  <c r="M168" i="3"/>
  <c r="N168" i="3" s="1"/>
  <c r="L168" i="3" l="1"/>
  <c r="AG169" i="3" l="1"/>
  <c r="AH169" i="3"/>
  <c r="U168" i="3"/>
  <c r="E169" i="3" s="1"/>
  <c r="H169" i="3" s="1"/>
  <c r="Y167" i="3"/>
  <c r="D169" i="3" l="1"/>
  <c r="F169" i="3" s="1"/>
  <c r="K169" i="3"/>
  <c r="G169" i="3" l="1"/>
  <c r="I169" i="3" s="1"/>
  <c r="V169" i="3"/>
  <c r="AE169" i="3"/>
  <c r="M169" i="3" l="1"/>
  <c r="N169" i="3" s="1"/>
  <c r="J169" i="3"/>
  <c r="L169" i="3" s="1"/>
  <c r="W169" i="3"/>
  <c r="AG170" i="3" l="1"/>
  <c r="AH170" i="3"/>
  <c r="U169" i="3"/>
  <c r="E170" i="3" s="1"/>
  <c r="H170" i="3" s="1"/>
  <c r="Y168" i="3"/>
  <c r="K170" i="3" l="1"/>
  <c r="D170" i="3"/>
  <c r="F170" i="3" l="1"/>
  <c r="G170" i="3"/>
  <c r="V170" i="3"/>
  <c r="AE170" i="3"/>
  <c r="I170" i="3" l="1"/>
  <c r="W170" i="3" s="1"/>
  <c r="J170" i="3"/>
  <c r="M170" i="3"/>
  <c r="N170" i="3" s="1"/>
  <c r="L170" i="3" l="1"/>
  <c r="AG171" i="3" l="1"/>
  <c r="AH171" i="3"/>
  <c r="U170" i="3"/>
  <c r="D171" i="3" s="1"/>
  <c r="Y169" i="3"/>
  <c r="E171" i="3" l="1"/>
  <c r="H171" i="3" s="1"/>
  <c r="K171" i="3" s="1"/>
  <c r="G171" i="3"/>
  <c r="F171" i="3" l="1"/>
  <c r="V171" i="3"/>
  <c r="AE171" i="3"/>
  <c r="I171" i="3"/>
  <c r="J171" i="3"/>
  <c r="M171" i="3"/>
  <c r="N171" i="3" s="1"/>
  <c r="L171" i="3" l="1"/>
  <c r="W171" i="3"/>
  <c r="U171" i="3" l="1"/>
  <c r="D172" i="3" s="1"/>
  <c r="AG172" i="3"/>
  <c r="AH172" i="3"/>
  <c r="Y170" i="3"/>
  <c r="E172" i="3" l="1"/>
  <c r="H172" i="3" s="1"/>
  <c r="K172" i="3" s="1"/>
  <c r="G172" i="3"/>
  <c r="F172" i="3" l="1"/>
  <c r="V172" i="3"/>
  <c r="AE172" i="3"/>
  <c r="I172" i="3"/>
  <c r="J172" i="3"/>
  <c r="M172" i="3"/>
  <c r="N172" i="3" s="1"/>
  <c r="W172" i="3" l="1"/>
  <c r="L172" i="3"/>
  <c r="AG173" i="3" l="1"/>
  <c r="U172" i="3"/>
  <c r="D173" i="3" s="1"/>
  <c r="AH173" i="3"/>
  <c r="Y171" i="3"/>
  <c r="E173" i="3" l="1"/>
  <c r="H173" i="3" s="1"/>
  <c r="K173" i="3" s="1"/>
  <c r="G173" i="3"/>
  <c r="F173" i="3" l="1"/>
  <c r="V173" i="3"/>
  <c r="AE173" i="3"/>
  <c r="I173" i="3"/>
  <c r="J173" i="3"/>
  <c r="M173" i="3"/>
  <c r="N173" i="3" s="1"/>
  <c r="L173" i="3" l="1"/>
  <c r="W173" i="3"/>
  <c r="U173" i="3" l="1"/>
  <c r="D174" i="3" s="1"/>
  <c r="AG174" i="3"/>
  <c r="AH174" i="3"/>
  <c r="Y172" i="3"/>
  <c r="E174" i="3" l="1"/>
  <c r="H174" i="3" s="1"/>
  <c r="K174" i="3" s="1"/>
  <c r="G174" i="3"/>
  <c r="F174" i="3" l="1"/>
  <c r="V174" i="3"/>
  <c r="AE174" i="3"/>
  <c r="I174" i="3"/>
  <c r="J174" i="3"/>
  <c r="M174" i="3"/>
  <c r="N174" i="3" s="1"/>
  <c r="L174" i="3" l="1"/>
  <c r="W174" i="3"/>
  <c r="U174" i="3" l="1"/>
  <c r="D175" i="3" s="1"/>
  <c r="AG175" i="3"/>
  <c r="AH175" i="3"/>
  <c r="Y173" i="3"/>
  <c r="E175" i="3" l="1"/>
  <c r="H175" i="3" s="1"/>
  <c r="K175" i="3" s="1"/>
  <c r="G175" i="3"/>
  <c r="F175" i="3" l="1"/>
  <c r="I175" i="3"/>
  <c r="J175" i="3"/>
  <c r="M175" i="3"/>
  <c r="N175" i="3" s="1"/>
  <c r="V175" i="3"/>
  <c r="AE175" i="3"/>
  <c r="W175" i="3" l="1"/>
  <c r="L175" i="3"/>
  <c r="U175" i="3" l="1"/>
  <c r="D176" i="3" s="1"/>
  <c r="AG176" i="3"/>
  <c r="AH176" i="3"/>
  <c r="Y174" i="3"/>
  <c r="E176" i="3" l="1"/>
  <c r="H176" i="3" s="1"/>
  <c r="K176" i="3" s="1"/>
  <c r="G176" i="3"/>
  <c r="F176" i="3" l="1"/>
  <c r="V176" i="3"/>
  <c r="AE176" i="3"/>
  <c r="I176" i="3"/>
  <c r="J176" i="3"/>
  <c r="M176" i="3"/>
  <c r="N176" i="3" s="1"/>
  <c r="L176" i="3" l="1"/>
  <c r="W176" i="3"/>
  <c r="AH177" i="3" l="1"/>
  <c r="U176" i="3"/>
  <c r="E177" i="3" s="1"/>
  <c r="H177" i="3" s="1"/>
  <c r="AG177" i="3"/>
  <c r="Y175" i="3"/>
  <c r="D177" i="3" l="1"/>
  <c r="F177" i="3" s="1"/>
  <c r="K177" i="3"/>
  <c r="G177" i="3" l="1"/>
  <c r="I177" i="3" s="1"/>
  <c r="V177" i="3"/>
  <c r="AE177" i="3"/>
  <c r="J177" i="3" l="1"/>
  <c r="L177" i="3" s="1"/>
  <c r="M177" i="3"/>
  <c r="N177" i="3" s="1"/>
  <c r="W177" i="3"/>
  <c r="AH178" i="3" l="1"/>
  <c r="U177" i="3"/>
  <c r="E178" i="3" s="1"/>
  <c r="H178" i="3" s="1"/>
  <c r="AG178" i="3"/>
  <c r="Y176" i="3"/>
  <c r="D178" i="3" l="1"/>
  <c r="G178" i="3" s="1"/>
  <c r="K178" i="3"/>
  <c r="F178" i="3" l="1"/>
  <c r="I178" i="3"/>
  <c r="J178" i="3"/>
  <c r="M178" i="3"/>
  <c r="N178" i="3" s="1"/>
  <c r="V178" i="3"/>
  <c r="AE178" i="3"/>
  <c r="W178" i="3" l="1"/>
  <c r="L178" i="3"/>
  <c r="U178" i="3" l="1"/>
  <c r="D179" i="3" s="1"/>
  <c r="AG179" i="3"/>
  <c r="AH179" i="3"/>
  <c r="Y177" i="3"/>
  <c r="E179" i="3" l="1"/>
  <c r="H179" i="3" s="1"/>
  <c r="K179" i="3" s="1"/>
  <c r="G179" i="3"/>
  <c r="F179" i="3" l="1"/>
  <c r="I179" i="3"/>
  <c r="J179" i="3"/>
  <c r="M179" i="3"/>
  <c r="N179" i="3" s="1"/>
  <c r="V179" i="3"/>
  <c r="AE179" i="3"/>
  <c r="W179" i="3" l="1"/>
  <c r="L179" i="3"/>
  <c r="AG180" i="3" l="1"/>
  <c r="U179" i="3"/>
  <c r="D180" i="3" s="1"/>
  <c r="AH180" i="3"/>
  <c r="Y178" i="3"/>
  <c r="E180" i="3" l="1"/>
  <c r="H180" i="3" s="1"/>
  <c r="K180" i="3" s="1"/>
  <c r="G180" i="3"/>
  <c r="F180" i="3" l="1"/>
  <c r="V180" i="3"/>
  <c r="AE180" i="3"/>
  <c r="I180" i="3"/>
  <c r="J180" i="3"/>
  <c r="M180" i="3"/>
  <c r="N180" i="3" s="1"/>
  <c r="W180" i="3" l="1"/>
  <c r="L180" i="3"/>
  <c r="U180" i="3" l="1"/>
  <c r="E181" i="3" s="1"/>
  <c r="H181" i="3" s="1"/>
  <c r="AG181" i="3"/>
  <c r="AH181" i="3"/>
  <c r="Y179" i="3"/>
  <c r="D181" i="3" l="1"/>
  <c r="F181" i="3" s="1"/>
  <c r="K181" i="3"/>
  <c r="G181" i="3" l="1"/>
  <c r="I181" i="3" s="1"/>
  <c r="V181" i="3"/>
  <c r="AE181" i="3"/>
  <c r="M181" i="3" l="1"/>
  <c r="N181" i="3" s="1"/>
  <c r="J181" i="3"/>
  <c r="L181" i="3" s="1"/>
  <c r="W181" i="3"/>
  <c r="AH182" i="3" l="1"/>
  <c r="U181" i="3"/>
  <c r="E182" i="3" s="1"/>
  <c r="H182" i="3" s="1"/>
  <c r="AG182" i="3"/>
  <c r="Y180" i="3"/>
  <c r="D182" i="3" l="1"/>
  <c r="F182" i="3" s="1"/>
  <c r="K182" i="3"/>
  <c r="G182" i="3" l="1"/>
  <c r="I182" i="3" s="1"/>
  <c r="V182" i="3"/>
  <c r="AE182" i="3"/>
  <c r="M182" i="3" l="1"/>
  <c r="N182" i="3" s="1"/>
  <c r="J182" i="3"/>
  <c r="L182" i="3" s="1"/>
  <c r="W182" i="3"/>
  <c r="U182" i="3" l="1"/>
  <c r="D183" i="3" s="1"/>
  <c r="AH183" i="3"/>
  <c r="AG183" i="3"/>
  <c r="Y181" i="3"/>
  <c r="E183" i="3" l="1"/>
  <c r="H183" i="3" s="1"/>
  <c r="K183" i="3" s="1"/>
  <c r="G183" i="3"/>
  <c r="F183" i="3" l="1"/>
  <c r="I183" i="3"/>
  <c r="J183" i="3"/>
  <c r="M183" i="3"/>
  <c r="N183" i="3" s="1"/>
  <c r="V183" i="3"/>
  <c r="AE183" i="3"/>
  <c r="W183" i="3" l="1"/>
  <c r="L183" i="3"/>
  <c r="AG184" i="3" l="1"/>
  <c r="AH184" i="3"/>
  <c r="U183" i="3"/>
  <c r="D184" i="3" s="1"/>
  <c r="Y182" i="3"/>
  <c r="E184" i="3" l="1"/>
  <c r="H184" i="3" s="1"/>
  <c r="K184" i="3" s="1"/>
  <c r="G184" i="3"/>
  <c r="F184" i="3" l="1"/>
  <c r="V184" i="3"/>
  <c r="AE184" i="3"/>
  <c r="I184" i="3"/>
  <c r="J184" i="3"/>
  <c r="M184" i="3"/>
  <c r="N184" i="3" s="1"/>
  <c r="L184" i="3" l="1"/>
  <c r="W184" i="3"/>
  <c r="AG185" i="3" l="1"/>
  <c r="U184" i="3"/>
  <c r="E185" i="3" s="1"/>
  <c r="H185" i="3" s="1"/>
  <c r="AH185" i="3"/>
  <c r="Y183" i="3"/>
  <c r="D185" i="3" l="1"/>
  <c r="F185" i="3" s="1"/>
  <c r="K185" i="3"/>
  <c r="G185" i="3" l="1"/>
  <c r="I185" i="3" s="1"/>
  <c r="V185" i="3"/>
  <c r="AE185" i="3"/>
  <c r="J185" i="3" l="1"/>
  <c r="L185" i="3" s="1"/>
  <c r="M185" i="3"/>
  <c r="N185" i="3" s="1"/>
  <c r="W185" i="3"/>
  <c r="AH186" i="3" l="1"/>
  <c r="AG186" i="3"/>
  <c r="U185" i="3"/>
  <c r="E186" i="3" s="1"/>
  <c r="H186" i="3" s="1"/>
  <c r="Y184" i="3"/>
  <c r="D186" i="3" l="1"/>
  <c r="F186" i="3" s="1"/>
  <c r="K186" i="3"/>
  <c r="G186" i="3" l="1"/>
  <c r="I186" i="3" s="1"/>
  <c r="V186" i="3"/>
  <c r="AE186" i="3"/>
  <c r="W186" i="3" l="1"/>
  <c r="J186" i="3"/>
  <c r="L186" i="3" s="1"/>
  <c r="M186" i="3"/>
  <c r="N186" i="3" s="1"/>
  <c r="AG187" i="3" l="1"/>
  <c r="U186" i="3"/>
  <c r="D187" i="3" s="1"/>
  <c r="AH187" i="3"/>
  <c r="Y185" i="3"/>
  <c r="E187" i="3" l="1"/>
  <c r="H187" i="3" s="1"/>
  <c r="K187" i="3" s="1"/>
  <c r="G187" i="3"/>
  <c r="F187" i="3" l="1"/>
  <c r="I187" i="3"/>
  <c r="J187" i="3"/>
  <c r="M187" i="3"/>
  <c r="N187" i="3" s="1"/>
  <c r="V187" i="3"/>
  <c r="AE187" i="3"/>
  <c r="W187" i="3" l="1"/>
  <c r="L187" i="3"/>
  <c r="AH188" i="3" l="1"/>
  <c r="AG188" i="3"/>
  <c r="U187" i="3"/>
  <c r="D188" i="3" s="1"/>
  <c r="Y186" i="3"/>
  <c r="G188" i="3" l="1"/>
  <c r="E188" i="3"/>
  <c r="H188" i="3" s="1"/>
  <c r="K188" i="3" l="1"/>
  <c r="I188" i="3"/>
  <c r="J188" i="3"/>
  <c r="M188" i="3"/>
  <c r="N188" i="3" s="1"/>
  <c r="F188" i="3"/>
  <c r="L188" i="3" l="1"/>
  <c r="V188" i="3"/>
  <c r="W188" i="3" s="1"/>
  <c r="AE188" i="3"/>
  <c r="AH189" i="3" l="1"/>
  <c r="AG189" i="3"/>
  <c r="U188" i="3"/>
  <c r="E189" i="3" s="1"/>
  <c r="H189" i="3" s="1"/>
  <c r="Y187" i="3"/>
  <c r="D189" i="3" l="1"/>
  <c r="F189" i="3" s="1"/>
  <c r="K189" i="3"/>
  <c r="G189" i="3" l="1"/>
  <c r="I189" i="3" s="1"/>
  <c r="V189" i="3"/>
  <c r="AE189" i="3"/>
  <c r="M189" i="3" l="1"/>
  <c r="N189" i="3" s="1"/>
  <c r="J189" i="3"/>
  <c r="L189" i="3" s="1"/>
  <c r="W189" i="3"/>
  <c r="AG190" i="3" l="1"/>
  <c r="AH190" i="3"/>
  <c r="U189" i="3"/>
  <c r="D190" i="3" s="1"/>
  <c r="Y188" i="3"/>
  <c r="E190" i="3" l="1"/>
  <c r="H190" i="3" s="1"/>
  <c r="K190" i="3" s="1"/>
  <c r="G190" i="3"/>
  <c r="F190" i="3" l="1"/>
  <c r="V190" i="3"/>
  <c r="AE190" i="3"/>
  <c r="I190" i="3"/>
  <c r="J190" i="3"/>
  <c r="M190" i="3"/>
  <c r="N190" i="3" s="1"/>
  <c r="L190" i="3" l="1"/>
  <c r="W190" i="3"/>
  <c r="AG191" i="3" l="1"/>
  <c r="AH191" i="3"/>
  <c r="U190" i="3"/>
  <c r="E191" i="3" s="1"/>
  <c r="H191" i="3" s="1"/>
  <c r="Y189" i="3"/>
  <c r="D191" i="3" l="1"/>
  <c r="F191" i="3" s="1"/>
  <c r="K191" i="3"/>
  <c r="G191" i="3" l="1"/>
  <c r="I191" i="3" s="1"/>
  <c r="V191" i="3"/>
  <c r="AE191" i="3"/>
  <c r="W191" i="3" l="1"/>
  <c r="M191" i="3"/>
  <c r="N191" i="3" s="1"/>
  <c r="J191" i="3"/>
  <c r="L191" i="3" s="1"/>
  <c r="AH192" i="3" l="1"/>
  <c r="U191" i="3"/>
  <c r="D192" i="3" s="1"/>
  <c r="AG192" i="3"/>
  <c r="Y190" i="3"/>
  <c r="E192" i="3" l="1"/>
  <c r="H192" i="3" s="1"/>
  <c r="K192" i="3" s="1"/>
  <c r="G192" i="3"/>
  <c r="F192" i="3" l="1"/>
  <c r="V192" i="3"/>
  <c r="AE192" i="3"/>
  <c r="I192" i="3"/>
  <c r="J192" i="3"/>
  <c r="M192" i="3"/>
  <c r="N192" i="3" s="1"/>
  <c r="L192" i="3" l="1"/>
  <c r="W192" i="3"/>
  <c r="AH193" i="3" l="1"/>
  <c r="U192" i="3"/>
  <c r="E193" i="3" s="1"/>
  <c r="H193" i="3" s="1"/>
  <c r="AG193" i="3"/>
  <c r="Y191" i="3"/>
  <c r="D193" i="3" l="1"/>
  <c r="F193" i="3" s="1"/>
  <c r="K193" i="3"/>
  <c r="G193" i="3" l="1"/>
  <c r="J193" i="3" s="1"/>
  <c r="V193" i="3"/>
  <c r="AE193" i="3"/>
  <c r="I193" i="3" l="1"/>
  <c r="W193" i="3" s="1"/>
  <c r="M193" i="3"/>
  <c r="N193" i="3" s="1"/>
  <c r="L193" i="3"/>
  <c r="U193" i="3" l="1"/>
  <c r="E194" i="3" s="1"/>
  <c r="H194" i="3" s="1"/>
  <c r="AG194" i="3"/>
  <c r="AH194" i="3"/>
  <c r="Y192" i="3"/>
  <c r="D194" i="3" l="1"/>
  <c r="F194" i="3" s="1"/>
  <c r="K194" i="3"/>
  <c r="G194" i="3" l="1"/>
  <c r="I194" i="3" s="1"/>
  <c r="V194" i="3"/>
  <c r="AE194" i="3"/>
  <c r="J194" i="3" l="1"/>
  <c r="L194" i="3" s="1"/>
  <c r="M194" i="3"/>
  <c r="N194" i="3" s="1"/>
  <c r="W194" i="3"/>
  <c r="U194" i="3" l="1"/>
  <c r="E195" i="3" s="1"/>
  <c r="H195" i="3" s="1"/>
  <c r="AH195" i="3"/>
  <c r="AG195" i="3"/>
  <c r="Y193" i="3"/>
  <c r="D195" i="3" l="1"/>
  <c r="F195" i="3" s="1"/>
  <c r="K195" i="3"/>
  <c r="G195" i="3" l="1"/>
  <c r="J195" i="3" s="1"/>
  <c r="V195" i="3"/>
  <c r="AE195" i="3"/>
  <c r="I195" i="3" l="1"/>
  <c r="W195" i="3" s="1"/>
  <c r="M195" i="3"/>
  <c r="N195" i="3" s="1"/>
  <c r="L195" i="3"/>
  <c r="AH196" i="3" l="1"/>
  <c r="U195" i="3"/>
  <c r="E196" i="3" s="1"/>
  <c r="H196" i="3" s="1"/>
  <c r="AG196" i="3"/>
  <c r="Y194" i="3"/>
  <c r="K196" i="3" l="1"/>
  <c r="D196" i="3"/>
  <c r="F196" i="3" l="1"/>
  <c r="G196" i="3"/>
  <c r="V196" i="3"/>
  <c r="AE196" i="3"/>
  <c r="I196" i="3" l="1"/>
  <c r="W196" i="3" s="1"/>
  <c r="J196" i="3"/>
  <c r="M196" i="3"/>
  <c r="N196" i="3" s="1"/>
  <c r="L196" i="3" l="1"/>
  <c r="AH197" i="3" l="1"/>
  <c r="U196" i="3"/>
  <c r="D197" i="3" s="1"/>
  <c r="AG197" i="3"/>
  <c r="Y195" i="3"/>
  <c r="E197" i="3" l="1"/>
  <c r="H197" i="3" s="1"/>
  <c r="K197" i="3" s="1"/>
  <c r="G197" i="3"/>
  <c r="F197" i="3" l="1"/>
  <c r="I197" i="3"/>
  <c r="J197" i="3"/>
  <c r="M197" i="3"/>
  <c r="N197" i="3" s="1"/>
  <c r="V197" i="3"/>
  <c r="AE197" i="3"/>
  <c r="W197" i="3" l="1"/>
  <c r="L197" i="3"/>
  <c r="U197" i="3" l="1"/>
  <c r="E198" i="3" s="1"/>
  <c r="H198" i="3" s="1"/>
  <c r="AG198" i="3"/>
  <c r="AH198" i="3"/>
  <c r="Y196" i="3"/>
  <c r="D198" i="3" l="1"/>
  <c r="F198" i="3" s="1"/>
  <c r="K198" i="3"/>
  <c r="G198" i="3" l="1"/>
  <c r="I198" i="3" s="1"/>
  <c r="V198" i="3"/>
  <c r="AE198" i="3"/>
  <c r="M198" i="3" l="1"/>
  <c r="N198" i="3" s="1"/>
  <c r="J198" i="3"/>
  <c r="L198" i="3" s="1"/>
  <c r="W198" i="3"/>
  <c r="AH199" i="3" l="1"/>
  <c r="AG199" i="3"/>
  <c r="U198" i="3"/>
  <c r="E199" i="3" s="1"/>
  <c r="H199" i="3" s="1"/>
  <c r="Y197" i="3"/>
  <c r="K199" i="3" l="1"/>
  <c r="D199" i="3"/>
  <c r="F199" i="3" l="1"/>
  <c r="G199" i="3"/>
  <c r="V199" i="3"/>
  <c r="AE199" i="3"/>
  <c r="I199" i="3" l="1"/>
  <c r="W199" i="3" s="1"/>
  <c r="J199" i="3"/>
  <c r="M199" i="3"/>
  <c r="N199" i="3" s="1"/>
  <c r="L199" i="3" l="1"/>
  <c r="AH200" i="3" l="1"/>
  <c r="AG200" i="3"/>
  <c r="U199" i="3"/>
  <c r="D200" i="3" s="1"/>
  <c r="Y198" i="3"/>
  <c r="E200" i="3" l="1"/>
  <c r="H200" i="3" s="1"/>
  <c r="K200" i="3" s="1"/>
  <c r="G200" i="3"/>
  <c r="F200" i="3" l="1"/>
  <c r="I200" i="3"/>
  <c r="J200" i="3"/>
  <c r="M200" i="3"/>
  <c r="N200" i="3" s="1"/>
  <c r="V200" i="3"/>
  <c r="AE200" i="3"/>
  <c r="W200" i="3" l="1"/>
  <c r="L200" i="3"/>
  <c r="AG201" i="3" l="1"/>
  <c r="AH201" i="3"/>
  <c r="U200" i="3"/>
  <c r="D201" i="3" s="1"/>
  <c r="Y199" i="3"/>
  <c r="E201" i="3" l="1"/>
  <c r="H201" i="3" s="1"/>
  <c r="K201" i="3" s="1"/>
  <c r="G201" i="3"/>
  <c r="F201" i="3" l="1"/>
  <c r="V201" i="3"/>
  <c r="AE201" i="3"/>
  <c r="I201" i="3"/>
  <c r="J201" i="3"/>
  <c r="M201" i="3"/>
  <c r="N201" i="3" s="1"/>
  <c r="L201" i="3" l="1"/>
  <c r="W201" i="3"/>
  <c r="AH202" i="3" l="1"/>
  <c r="AG202" i="3"/>
  <c r="U201" i="3"/>
  <c r="D202" i="3" s="1"/>
  <c r="Y200" i="3"/>
  <c r="E202" i="3" l="1"/>
  <c r="H202" i="3" s="1"/>
  <c r="K202" i="3" s="1"/>
  <c r="G202" i="3"/>
  <c r="F202" i="3" l="1"/>
  <c r="V202" i="3"/>
  <c r="AE202" i="3"/>
  <c r="I202" i="3"/>
  <c r="J202" i="3"/>
  <c r="M202" i="3"/>
  <c r="N202" i="3" s="1"/>
  <c r="L202" i="3" l="1"/>
  <c r="W202" i="3"/>
  <c r="AH203" i="3" l="1"/>
  <c r="AG203" i="3"/>
  <c r="U202" i="3"/>
  <c r="D203" i="3" s="1"/>
  <c r="Y201" i="3"/>
  <c r="E203" i="3" l="1"/>
  <c r="H203" i="3" s="1"/>
  <c r="K203" i="3" s="1"/>
  <c r="G203" i="3"/>
  <c r="F203" i="3" l="1"/>
  <c r="V203" i="3"/>
  <c r="AE203" i="3"/>
  <c r="I203" i="3"/>
  <c r="J203" i="3"/>
  <c r="M203" i="3"/>
  <c r="N203" i="3" s="1"/>
  <c r="L203" i="3" l="1"/>
  <c r="W203" i="3"/>
  <c r="U203" i="3" l="1"/>
  <c r="E204" i="3" s="1"/>
  <c r="H204" i="3" s="1"/>
  <c r="AH204" i="3"/>
  <c r="AG204" i="3"/>
  <c r="Y202" i="3"/>
  <c r="D204" i="3" l="1"/>
  <c r="F204" i="3" s="1"/>
  <c r="K204" i="3"/>
  <c r="G204" i="3" l="1"/>
  <c r="J204" i="3" s="1"/>
  <c r="V204" i="3"/>
  <c r="A205" i="3"/>
  <c r="B205" i="3" s="1"/>
  <c r="AE204" i="3"/>
  <c r="M204" i="3" l="1"/>
  <c r="N204" i="3" s="1"/>
  <c r="I204" i="3"/>
  <c r="W204" i="3" s="1"/>
  <c r="L204" i="3"/>
  <c r="AD204" i="3"/>
  <c r="Z205" i="3"/>
  <c r="AA205" i="3"/>
  <c r="AC205" i="3"/>
  <c r="P205" i="3"/>
  <c r="Q205" i="3" s="1"/>
  <c r="R205" i="3" s="1"/>
  <c r="S205" i="3" s="1"/>
  <c r="U204" i="3" l="1"/>
  <c r="Y203" i="3"/>
  <c r="T205" i="3"/>
  <c r="D205" i="3" l="1"/>
  <c r="G205" i="3" s="1"/>
  <c r="AH205" i="3"/>
  <c r="AG205" i="3"/>
  <c r="E205" i="3"/>
  <c r="H205" i="3" s="1"/>
  <c r="K205" i="3" s="1"/>
  <c r="F205" i="3" l="1"/>
  <c r="V205" i="3"/>
  <c r="AE205" i="3"/>
  <c r="A206" i="3"/>
  <c r="B206" i="3" s="1"/>
  <c r="I205" i="3"/>
  <c r="J205" i="3"/>
  <c r="AD205" i="3" s="1"/>
  <c r="M205" i="3"/>
  <c r="N205" i="3" s="1"/>
  <c r="AC206" i="3" l="1"/>
  <c r="P206" i="3"/>
  <c r="Q206" i="3" s="1"/>
  <c r="R206" i="3" s="1"/>
  <c r="S206" i="3" s="1"/>
  <c r="Z206" i="3"/>
  <c r="AA206" i="3"/>
  <c r="L205" i="3"/>
  <c r="W205" i="3"/>
  <c r="T206" i="3" l="1"/>
  <c r="AH206" i="3" s="1"/>
  <c r="U205" i="3"/>
  <c r="Y204" i="3"/>
  <c r="E206" i="3" l="1"/>
  <c r="H206" i="3" s="1"/>
  <c r="K206" i="3" s="1"/>
  <c r="D206" i="3"/>
  <c r="G206" i="3" s="1"/>
  <c r="AG206" i="3"/>
  <c r="F206" i="3" l="1"/>
  <c r="I206" i="3"/>
  <c r="J206" i="3"/>
  <c r="AD206" i="3" s="1"/>
  <c r="M206" i="3"/>
  <c r="N206" i="3" s="1"/>
  <c r="V206" i="3"/>
  <c r="AE206" i="3"/>
  <c r="A207" i="3"/>
  <c r="B207" i="3" s="1"/>
  <c r="W206" i="3" l="1"/>
  <c r="L206" i="3"/>
  <c r="P207" i="3"/>
  <c r="Q207" i="3" s="1"/>
  <c r="R207" i="3" s="1"/>
  <c r="S207" i="3" s="1"/>
  <c r="AA207" i="3"/>
  <c r="AC207" i="3"/>
  <c r="Z207" i="3"/>
  <c r="T207" i="3" l="1"/>
  <c r="AG207" i="3" s="1"/>
  <c r="U206" i="3"/>
  <c r="Y205" i="3"/>
  <c r="D207" i="3" l="1"/>
  <c r="G207" i="3" s="1"/>
  <c r="E207" i="3"/>
  <c r="H207" i="3" s="1"/>
  <c r="K207" i="3" s="1"/>
  <c r="AH207" i="3"/>
  <c r="F207" i="3" l="1"/>
  <c r="V207" i="3"/>
  <c r="AE207" i="3"/>
  <c r="A208" i="3"/>
  <c r="B208" i="3" s="1"/>
  <c r="I207" i="3"/>
  <c r="J207" i="3"/>
  <c r="AD207" i="3" s="1"/>
  <c r="M207" i="3"/>
  <c r="N207" i="3" s="1"/>
  <c r="P208" i="3" l="1"/>
  <c r="Q208" i="3" s="1"/>
  <c r="R208" i="3" s="1"/>
  <c r="S208" i="3" s="1"/>
  <c r="Z208" i="3"/>
  <c r="AC208" i="3"/>
  <c r="AA208" i="3"/>
  <c r="L207" i="3"/>
  <c r="W207" i="3"/>
  <c r="T208" i="3" l="1"/>
  <c r="AG208" i="3" s="1"/>
  <c r="U207" i="3"/>
  <c r="Y206" i="3"/>
  <c r="AH208" i="3" l="1"/>
  <c r="D208" i="3"/>
  <c r="G208" i="3" s="1"/>
  <c r="E208" i="3"/>
  <c r="H208" i="3" s="1"/>
  <c r="K208" i="3" s="1"/>
  <c r="F208" i="3" l="1"/>
  <c r="V208" i="3"/>
  <c r="AE208" i="3"/>
  <c r="A209" i="3"/>
  <c r="B209" i="3" s="1"/>
  <c r="I208" i="3"/>
  <c r="J208" i="3"/>
  <c r="AD208" i="3" s="1"/>
  <c r="M208" i="3"/>
  <c r="N208" i="3" s="1"/>
  <c r="AA209" i="3" l="1"/>
  <c r="Z209" i="3"/>
  <c r="AC209" i="3"/>
  <c r="P209" i="3"/>
  <c r="Q209" i="3" s="1"/>
  <c r="R209" i="3" s="1"/>
  <c r="S209" i="3" s="1"/>
  <c r="L208" i="3"/>
  <c r="W208" i="3"/>
  <c r="T209" i="3" l="1"/>
  <c r="AH209" i="3" s="1"/>
  <c r="U208" i="3"/>
  <c r="Y207" i="3"/>
  <c r="E209" i="3" l="1"/>
  <c r="H209" i="3" s="1"/>
  <c r="K209" i="3" s="1"/>
  <c r="D209" i="3"/>
  <c r="AG209" i="3"/>
  <c r="F209" i="3" l="1"/>
  <c r="G209" i="3"/>
  <c r="I209" i="3" s="1"/>
  <c r="V209" i="3"/>
  <c r="AE209" i="3"/>
  <c r="A210" i="3"/>
  <c r="B210" i="3" s="1"/>
  <c r="J209" i="3" l="1"/>
  <c r="AD209" i="3" s="1"/>
  <c r="M209" i="3"/>
  <c r="N209" i="3" s="1"/>
  <c r="W209" i="3"/>
  <c r="P210" i="3"/>
  <c r="Q210" i="3" s="1"/>
  <c r="R210" i="3" s="1"/>
  <c r="S210" i="3" s="1"/>
  <c r="AC210" i="3"/>
  <c r="Z210" i="3"/>
  <c r="AA210" i="3"/>
  <c r="L209" i="3" l="1"/>
  <c r="U209" i="3" s="1"/>
  <c r="T210" i="3"/>
  <c r="Y208" i="3" l="1"/>
  <c r="D210" i="3"/>
  <c r="G210" i="3" s="1"/>
  <c r="AH210" i="3"/>
  <c r="AG210" i="3"/>
  <c r="E210" i="3"/>
  <c r="H210" i="3" s="1"/>
  <c r="K210" i="3" s="1"/>
  <c r="F210" i="3" l="1"/>
  <c r="I210" i="3"/>
  <c r="J210" i="3"/>
  <c r="AD210" i="3" s="1"/>
  <c r="M210" i="3"/>
  <c r="N210" i="3" s="1"/>
  <c r="V210" i="3"/>
  <c r="AE210" i="3"/>
  <c r="A211" i="3"/>
  <c r="B211" i="3" s="1"/>
  <c r="W210" i="3" l="1"/>
  <c r="L210" i="3"/>
  <c r="Z211" i="3"/>
  <c r="AA211" i="3"/>
  <c r="P211" i="3"/>
  <c r="Q211" i="3" s="1"/>
  <c r="R211" i="3" s="1"/>
  <c r="S211" i="3" s="1"/>
  <c r="AC211" i="3"/>
  <c r="T211" i="3" l="1"/>
  <c r="AG211" i="3" s="1"/>
  <c r="U210" i="3"/>
  <c r="Y209" i="3"/>
  <c r="AH211" i="3" l="1"/>
  <c r="D211" i="3"/>
  <c r="G211" i="3" s="1"/>
  <c r="E211" i="3"/>
  <c r="H211" i="3" s="1"/>
  <c r="K211" i="3" l="1"/>
  <c r="I211" i="3"/>
  <c r="J211" i="3"/>
  <c r="AD211" i="3" s="1"/>
  <c r="M211" i="3"/>
  <c r="N211" i="3" s="1"/>
  <c r="F211" i="3"/>
  <c r="L211" i="3" l="1"/>
  <c r="V211" i="3"/>
  <c r="W211" i="3" s="1"/>
  <c r="AE211" i="3"/>
  <c r="A212" i="3"/>
  <c r="B212" i="3" s="1"/>
  <c r="AA212" i="3" l="1"/>
  <c r="Z212" i="3"/>
  <c r="P212" i="3"/>
  <c r="Q212" i="3" s="1"/>
  <c r="R212" i="3" s="1"/>
  <c r="S212" i="3" s="1"/>
  <c r="AC212" i="3"/>
  <c r="U211" i="3"/>
  <c r="Y210" i="3"/>
  <c r="T212" i="3" l="1"/>
  <c r="AH212" i="3" s="1"/>
  <c r="E212" i="3" l="1"/>
  <c r="H212" i="3" s="1"/>
  <c r="K212" i="3" s="1"/>
  <c r="AG212" i="3"/>
  <c r="D212" i="3"/>
  <c r="F212" i="3" l="1"/>
  <c r="G212" i="3"/>
  <c r="V212" i="3"/>
  <c r="A213" i="3"/>
  <c r="B213" i="3" s="1"/>
  <c r="AE212" i="3"/>
  <c r="AA213" i="3" l="1"/>
  <c r="P213" i="3"/>
  <c r="Q213" i="3" s="1"/>
  <c r="R213" i="3" s="1"/>
  <c r="S213" i="3" s="1"/>
  <c r="Z213" i="3"/>
  <c r="AC213" i="3"/>
  <c r="I212" i="3"/>
  <c r="W212" i="3" s="1"/>
  <c r="J212" i="3"/>
  <c r="AD212" i="3" s="1"/>
  <c r="M212" i="3"/>
  <c r="N212" i="3" s="1"/>
  <c r="L212" i="3" l="1"/>
  <c r="T213" i="3"/>
  <c r="AG213" i="3" l="1"/>
  <c r="AH213" i="3"/>
  <c r="U212" i="3"/>
  <c r="E213" i="3" s="1"/>
  <c r="H213" i="3" s="1"/>
  <c r="Y211" i="3"/>
  <c r="K213" i="3" l="1"/>
  <c r="D213" i="3"/>
  <c r="F213" i="3" l="1"/>
  <c r="G213" i="3"/>
  <c r="V213" i="3"/>
  <c r="A214" i="3"/>
  <c r="B214" i="3" s="1"/>
  <c r="AE213" i="3"/>
  <c r="I213" i="3" l="1"/>
  <c r="W213" i="3" s="1"/>
  <c r="J213" i="3"/>
  <c r="AD213" i="3" s="1"/>
  <c r="M213" i="3"/>
  <c r="N213" i="3" s="1"/>
  <c r="P214" i="3"/>
  <c r="Q214" i="3" s="1"/>
  <c r="R214" i="3" s="1"/>
  <c r="S214" i="3" s="1"/>
  <c r="AA214" i="3"/>
  <c r="Z214" i="3"/>
  <c r="AC214" i="3"/>
  <c r="T214" i="3" l="1"/>
  <c r="L213" i="3"/>
  <c r="AG214" i="3" l="1"/>
  <c r="AH214" i="3"/>
  <c r="U213" i="3"/>
  <c r="E214" i="3" s="1"/>
  <c r="H214" i="3" s="1"/>
  <c r="Y212" i="3"/>
  <c r="D214" i="3" l="1"/>
  <c r="F214" i="3" s="1"/>
  <c r="K214" i="3"/>
  <c r="G214" i="3" l="1"/>
  <c r="J214" i="3" s="1"/>
  <c r="V214" i="3"/>
  <c r="AE214" i="3"/>
  <c r="A215" i="3"/>
  <c r="B215" i="3" s="1"/>
  <c r="M214" i="3" l="1"/>
  <c r="N214" i="3" s="1"/>
  <c r="I214" i="3"/>
  <c r="W214" i="3" s="1"/>
  <c r="L214" i="3"/>
  <c r="AD214" i="3"/>
  <c r="P215" i="3"/>
  <c r="Q215" i="3" s="1"/>
  <c r="R215" i="3" s="1"/>
  <c r="S215" i="3" s="1"/>
  <c r="AD215" i="3"/>
  <c r="AC215" i="3"/>
  <c r="AA215" i="3"/>
  <c r="Z215" i="3"/>
  <c r="T215" i="3" l="1"/>
  <c r="AG215" i="3" s="1"/>
  <c r="U214" i="3"/>
  <c r="Y213" i="3"/>
  <c r="AH215" i="3" l="1"/>
  <c r="E215" i="3"/>
  <c r="H215" i="3" s="1"/>
  <c r="K215" i="3" s="1"/>
  <c r="D215" i="3"/>
  <c r="F215" i="3" l="1"/>
  <c r="G215" i="3"/>
  <c r="I215" i="3" s="1"/>
  <c r="V215" i="3"/>
  <c r="AE215" i="3"/>
  <c r="A216" i="3"/>
  <c r="B216" i="3" s="1"/>
  <c r="M215" i="3" l="1"/>
  <c r="N215" i="3" s="1"/>
  <c r="J215" i="3"/>
  <c r="L215" i="3" s="1"/>
  <c r="W215" i="3"/>
  <c r="Z216" i="3"/>
  <c r="P216" i="3"/>
  <c r="Q216" i="3" s="1"/>
  <c r="R216" i="3" s="1"/>
  <c r="S216" i="3" s="1"/>
  <c r="AC216" i="3"/>
  <c r="AD216" i="3"/>
  <c r="AA216" i="3"/>
  <c r="T216" i="3" l="1"/>
  <c r="AG216" i="3" s="1"/>
  <c r="U215" i="3"/>
  <c r="Y214" i="3"/>
  <c r="E216" i="3" l="1"/>
  <c r="H216" i="3" s="1"/>
  <c r="K216" i="3" s="1"/>
  <c r="D216" i="3"/>
  <c r="AH216" i="3"/>
  <c r="F216" i="3" l="1"/>
  <c r="G216" i="3"/>
  <c r="I216" i="3" s="1"/>
  <c r="V216" i="3"/>
  <c r="AE216" i="3"/>
  <c r="A217" i="3"/>
  <c r="B217" i="3" s="1"/>
  <c r="M216" i="3" l="1"/>
  <c r="N216" i="3" s="1"/>
  <c r="W216" i="3"/>
  <c r="J216" i="3"/>
  <c r="L216" i="3" s="1"/>
  <c r="AA217" i="3"/>
  <c r="Z217" i="3"/>
  <c r="AD217" i="3"/>
  <c r="P217" i="3"/>
  <c r="Q217" i="3" s="1"/>
  <c r="R217" i="3" s="1"/>
  <c r="S217" i="3" s="1"/>
  <c r="AC217" i="3"/>
  <c r="T217" i="3" l="1"/>
  <c r="AH217" i="3" s="1"/>
  <c r="U216" i="3"/>
  <c r="Y215" i="3"/>
  <c r="E217" i="3" l="1"/>
  <c r="H217" i="3" s="1"/>
  <c r="K217" i="3" s="1"/>
  <c r="AG217" i="3"/>
  <c r="D217" i="3"/>
  <c r="G217" i="3" s="1"/>
  <c r="F217" i="3" l="1"/>
  <c r="I217" i="3"/>
  <c r="J217" i="3"/>
  <c r="M217" i="3"/>
  <c r="N217" i="3" s="1"/>
  <c r="V217" i="3"/>
  <c r="AE217" i="3"/>
  <c r="A218" i="3"/>
  <c r="B218" i="3" s="1"/>
  <c r="W217" i="3" l="1"/>
  <c r="L217" i="3"/>
  <c r="AC218" i="3"/>
  <c r="AA218" i="3"/>
  <c r="Z218" i="3"/>
  <c r="AD218" i="3"/>
  <c r="P218" i="3"/>
  <c r="Q218" i="3" s="1"/>
  <c r="R218" i="3" s="1"/>
  <c r="S218" i="3" s="1"/>
  <c r="T218" i="3" l="1"/>
  <c r="AH218" i="3" s="1"/>
  <c r="U217" i="3"/>
  <c r="Y216" i="3"/>
  <c r="AG218" i="3" l="1"/>
  <c r="D218" i="3"/>
  <c r="G218" i="3" s="1"/>
  <c r="E218" i="3"/>
  <c r="H218" i="3" s="1"/>
  <c r="K218" i="3" s="1"/>
  <c r="F218" i="3" l="1"/>
  <c r="V218" i="3"/>
  <c r="A219" i="3"/>
  <c r="B219" i="3" s="1"/>
  <c r="AE218" i="3"/>
  <c r="I218" i="3"/>
  <c r="J218" i="3"/>
  <c r="M218" i="3"/>
  <c r="N218" i="3" s="1"/>
  <c r="AA219" i="3" l="1"/>
  <c r="Z219" i="3"/>
  <c r="P219" i="3"/>
  <c r="Q219" i="3" s="1"/>
  <c r="R219" i="3" s="1"/>
  <c r="S219" i="3" s="1"/>
  <c r="AD219" i="3"/>
  <c r="AC219" i="3"/>
  <c r="L218" i="3"/>
  <c r="W218" i="3"/>
  <c r="T219" i="3" l="1"/>
  <c r="AH219" i="3" s="1"/>
  <c r="U218" i="3"/>
  <c r="Y217" i="3"/>
  <c r="AG219" i="3" l="1"/>
  <c r="E219" i="3"/>
  <c r="H219" i="3" s="1"/>
  <c r="K219" i="3" s="1"/>
  <c r="D219" i="3"/>
  <c r="F219" i="3" l="1"/>
  <c r="G219" i="3"/>
  <c r="I219" i="3" s="1"/>
  <c r="V219" i="3"/>
  <c r="AE219" i="3"/>
  <c r="A220" i="3"/>
  <c r="B220" i="3" s="1"/>
  <c r="M219" i="3" l="1"/>
  <c r="N219" i="3" s="1"/>
  <c r="J219" i="3"/>
  <c r="L219" i="3" s="1"/>
  <c r="W219" i="3"/>
  <c r="Z220" i="3"/>
  <c r="P220" i="3"/>
  <c r="Q220" i="3" s="1"/>
  <c r="R220" i="3" s="1"/>
  <c r="S220" i="3" s="1"/>
  <c r="AC220" i="3"/>
  <c r="AA220" i="3"/>
  <c r="AD220" i="3"/>
  <c r="T220" i="3" l="1"/>
  <c r="AG220" i="3" s="1"/>
  <c r="U219" i="3"/>
  <c r="Y218" i="3"/>
  <c r="AH220" i="3" l="1"/>
  <c r="E220" i="3"/>
  <c r="H220" i="3" s="1"/>
  <c r="K220" i="3" s="1"/>
  <c r="D220" i="3"/>
  <c r="F220" i="3" l="1"/>
  <c r="G220" i="3"/>
  <c r="M220" i="3" s="1"/>
  <c r="N220" i="3" s="1"/>
  <c r="V220" i="3"/>
  <c r="AE220" i="3"/>
  <c r="A221" i="3"/>
  <c r="B221" i="3" s="1"/>
  <c r="J220" i="3" l="1"/>
  <c r="L220" i="3" s="1"/>
  <c r="I220" i="3"/>
  <c r="W220" i="3" s="1"/>
  <c r="P221" i="3"/>
  <c r="Q221" i="3" s="1"/>
  <c r="R221" i="3" s="1"/>
  <c r="S221" i="3" s="1"/>
  <c r="AC221" i="3"/>
  <c r="AA221" i="3"/>
  <c r="AD221" i="3"/>
  <c r="Z221" i="3"/>
  <c r="T221" i="3" l="1"/>
  <c r="AG221" i="3" s="1"/>
  <c r="U220" i="3"/>
  <c r="Y219" i="3"/>
  <c r="AH221" i="3" l="1"/>
  <c r="D221" i="3"/>
  <c r="G221" i="3" s="1"/>
  <c r="E221" i="3"/>
  <c r="H221" i="3" s="1"/>
  <c r="I221" i="3" l="1"/>
  <c r="J221" i="3"/>
  <c r="M221" i="3"/>
  <c r="N221" i="3" s="1"/>
  <c r="K221" i="3"/>
  <c r="F221" i="3"/>
  <c r="V221" i="3" l="1"/>
  <c r="W221" i="3" s="1"/>
  <c r="AE221" i="3"/>
  <c r="A222" i="3"/>
  <c r="B222" i="3" s="1"/>
  <c r="L221" i="3"/>
  <c r="AD222" i="3" l="1"/>
  <c r="P222" i="3"/>
  <c r="Q222" i="3" s="1"/>
  <c r="R222" i="3" s="1"/>
  <c r="S222" i="3" s="1"/>
  <c r="Z222" i="3"/>
  <c r="AC222" i="3"/>
  <c r="AA222" i="3"/>
  <c r="U221" i="3"/>
  <c r="Y220" i="3"/>
  <c r="T222" i="3" l="1"/>
  <c r="D222" i="3" s="1"/>
  <c r="AG222" i="3" l="1"/>
  <c r="AH222" i="3"/>
  <c r="E222" i="3"/>
  <c r="H222" i="3" s="1"/>
  <c r="K222" i="3" s="1"/>
  <c r="G222" i="3"/>
  <c r="F222" i="3" l="1"/>
  <c r="I222" i="3"/>
  <c r="J222" i="3"/>
  <c r="M222" i="3"/>
  <c r="N222" i="3" s="1"/>
  <c r="V222" i="3"/>
  <c r="A223" i="3"/>
  <c r="B223" i="3" s="1"/>
  <c r="AE222" i="3"/>
  <c r="W222" i="3" l="1"/>
  <c r="AA223" i="3"/>
  <c r="P223" i="3"/>
  <c r="Q223" i="3" s="1"/>
  <c r="R223" i="3" s="1"/>
  <c r="S223" i="3" s="1"/>
  <c r="AC223" i="3"/>
  <c r="AD223" i="3"/>
  <c r="Z223" i="3"/>
  <c r="L222" i="3"/>
  <c r="T223" i="3" l="1"/>
  <c r="AG223" i="3" s="1"/>
  <c r="U222" i="3"/>
  <c r="Y221" i="3"/>
  <c r="AH223" i="3" l="1"/>
  <c r="E223" i="3"/>
  <c r="H223" i="3" s="1"/>
  <c r="K223" i="3" s="1"/>
  <c r="D223" i="3"/>
  <c r="F223" i="3" l="1"/>
  <c r="G223" i="3"/>
  <c r="I223" i="3" s="1"/>
  <c r="V223" i="3"/>
  <c r="A224" i="3"/>
  <c r="B224" i="3" s="1"/>
  <c r="AE223" i="3"/>
  <c r="J223" i="3" l="1"/>
  <c r="L223" i="3" s="1"/>
  <c r="M223" i="3"/>
  <c r="N223" i="3" s="1"/>
  <c r="W223" i="3"/>
  <c r="AC224" i="3"/>
  <c r="AA224" i="3"/>
  <c r="Z224" i="3"/>
  <c r="P224" i="3"/>
  <c r="Q224" i="3" s="1"/>
  <c r="R224" i="3" s="1"/>
  <c r="S224" i="3" s="1"/>
  <c r="T224" i="3" l="1"/>
  <c r="AH224" i="3" s="1"/>
  <c r="U223" i="3"/>
  <c r="Y222" i="3"/>
  <c r="AG224" i="3" l="1"/>
  <c r="D224" i="3"/>
  <c r="G224" i="3" s="1"/>
  <c r="E224" i="3"/>
  <c r="H224" i="3" s="1"/>
  <c r="K224" i="3" l="1"/>
  <c r="AE224" i="3" s="1"/>
  <c r="I224" i="3"/>
  <c r="J224" i="3"/>
  <c r="M224" i="3"/>
  <c r="N224" i="3" s="1"/>
  <c r="F224" i="3"/>
  <c r="L224" i="3" l="1"/>
  <c r="AD224" i="3"/>
  <c r="V224" i="3"/>
  <c r="W224" i="3" s="1"/>
  <c r="A225" i="3"/>
  <c r="B225" i="3" s="1"/>
  <c r="Z225" i="3" l="1"/>
  <c r="AC225" i="3"/>
  <c r="P225" i="3"/>
  <c r="Q225" i="3" s="1"/>
  <c r="R225" i="3" s="1"/>
  <c r="S225" i="3" s="1"/>
  <c r="AA225" i="3"/>
  <c r="AD225" i="3"/>
  <c r="U224" i="3"/>
  <c r="Y223" i="3"/>
  <c r="T225" i="3" l="1"/>
  <c r="AH225" i="3" s="1"/>
  <c r="AG225" i="3" l="1"/>
  <c r="D225" i="3"/>
  <c r="E225" i="3"/>
  <c r="H225" i="3" s="1"/>
  <c r="K225" i="3" s="1"/>
  <c r="AE225" i="3" s="1"/>
  <c r="F225" i="3" l="1"/>
  <c r="G225" i="3"/>
  <c r="J225" i="3" s="1"/>
  <c r="V225" i="3"/>
  <c r="A226" i="3"/>
  <c r="B226" i="3" s="1"/>
  <c r="M225" i="3" l="1"/>
  <c r="N225" i="3" s="1"/>
  <c r="I225" i="3"/>
  <c r="W225" i="3" s="1"/>
  <c r="L225" i="3"/>
  <c r="AA226" i="3"/>
  <c r="P226" i="3"/>
  <c r="Q226" i="3" s="1"/>
  <c r="R226" i="3" s="1"/>
  <c r="S226" i="3" s="1"/>
  <c r="AD226" i="3"/>
  <c r="AC226" i="3"/>
  <c r="Z226" i="3"/>
  <c r="T226" i="3" l="1"/>
  <c r="AH226" i="3" s="1"/>
  <c r="U225" i="3"/>
  <c r="Y224" i="3"/>
  <c r="AG226" i="3" l="1"/>
  <c r="D226" i="3"/>
  <c r="E226" i="3"/>
  <c r="H226" i="3" s="1"/>
  <c r="K226" i="3" s="1"/>
  <c r="AE226" i="3" s="1"/>
  <c r="F226" i="3" l="1"/>
  <c r="G226" i="3"/>
  <c r="J226" i="3" s="1"/>
  <c r="V226" i="3"/>
  <c r="A227" i="3"/>
  <c r="B227" i="3" s="1"/>
  <c r="M226" i="3" l="1"/>
  <c r="N226" i="3" s="1"/>
  <c r="I226" i="3"/>
  <c r="W226" i="3" s="1"/>
  <c r="L226" i="3"/>
  <c r="AD227" i="3"/>
  <c r="AA227" i="3"/>
  <c r="P227" i="3"/>
  <c r="Q227" i="3" s="1"/>
  <c r="R227" i="3" s="1"/>
  <c r="S227" i="3" s="1"/>
  <c r="Z227" i="3"/>
  <c r="AC227" i="3"/>
  <c r="T227" i="3" l="1"/>
  <c r="AH227" i="3" s="1"/>
  <c r="U226" i="3"/>
  <c r="Y225" i="3"/>
  <c r="E227" i="3" l="1"/>
  <c r="H227" i="3" s="1"/>
  <c r="K227" i="3" s="1"/>
  <c r="AE227" i="3" s="1"/>
  <c r="AG227" i="3"/>
  <c r="D227" i="3"/>
  <c r="F227" i="3" l="1"/>
  <c r="G227" i="3"/>
  <c r="I227" i="3" s="1"/>
  <c r="V227" i="3"/>
  <c r="A228" i="3"/>
  <c r="B228" i="3" s="1"/>
  <c r="M227" i="3" l="1"/>
  <c r="N227" i="3" s="1"/>
  <c r="J227" i="3"/>
  <c r="L227" i="3" s="1"/>
  <c r="W227" i="3"/>
  <c r="AA228" i="3"/>
  <c r="AD228" i="3"/>
  <c r="Z228" i="3"/>
  <c r="P228" i="3"/>
  <c r="Q228" i="3" s="1"/>
  <c r="R228" i="3" s="1"/>
  <c r="S228" i="3" s="1"/>
  <c r="AC228" i="3"/>
  <c r="T228" i="3" l="1"/>
  <c r="U227" i="3"/>
  <c r="Y226" i="3"/>
  <c r="D228" i="3" l="1"/>
  <c r="G228" i="3" s="1"/>
  <c r="AH228" i="3"/>
  <c r="E228" i="3"/>
  <c r="H228" i="3" s="1"/>
  <c r="K228" i="3" s="1"/>
  <c r="AE228" i="3" s="1"/>
  <c r="AG228" i="3"/>
  <c r="F228" i="3" l="1"/>
  <c r="I228" i="3"/>
  <c r="J228" i="3"/>
  <c r="M228" i="3"/>
  <c r="N228" i="3" s="1"/>
  <c r="V228" i="3"/>
  <c r="A229" i="3"/>
  <c r="B229" i="3" s="1"/>
  <c r="W228" i="3" l="1"/>
  <c r="P229" i="3"/>
  <c r="Q229" i="3" s="1"/>
  <c r="R229" i="3" s="1"/>
  <c r="S229" i="3" s="1"/>
  <c r="Z229" i="3"/>
  <c r="AA229" i="3"/>
  <c r="AC229" i="3"/>
  <c r="AD229" i="3"/>
  <c r="L228" i="3"/>
  <c r="U228" i="3" l="1"/>
  <c r="Y227" i="3"/>
  <c r="T229" i="3"/>
  <c r="AG229" i="3" s="1"/>
  <c r="AH229" i="3" l="1"/>
  <c r="D229" i="3"/>
  <c r="G229" i="3" s="1"/>
  <c r="E229" i="3"/>
  <c r="H229" i="3" s="1"/>
  <c r="K229" i="3" s="1"/>
  <c r="AE229" i="3" s="1"/>
  <c r="F229" i="3" l="1"/>
  <c r="V229" i="3"/>
  <c r="A230" i="3"/>
  <c r="B230" i="3" s="1"/>
  <c r="I229" i="3"/>
  <c r="J229" i="3"/>
  <c r="M229" i="3"/>
  <c r="N229" i="3" s="1"/>
  <c r="L229" i="3" l="1"/>
  <c r="AD230" i="3"/>
  <c r="Z230" i="3"/>
  <c r="AA230" i="3"/>
  <c r="P230" i="3"/>
  <c r="Q230" i="3" s="1"/>
  <c r="R230" i="3" s="1"/>
  <c r="S230" i="3" s="1"/>
  <c r="AC230" i="3"/>
  <c r="W229" i="3"/>
  <c r="T230" i="3" l="1"/>
  <c r="AH230" i="3" s="1"/>
  <c r="U229" i="3"/>
  <c r="Y228" i="3"/>
  <c r="D230" i="3" l="1"/>
  <c r="G230" i="3" s="1"/>
  <c r="AG230" i="3"/>
  <c r="E230" i="3"/>
  <c r="H230" i="3" s="1"/>
  <c r="K230" i="3" s="1"/>
  <c r="AE230" i="3" s="1"/>
  <c r="F230" i="3" l="1"/>
  <c r="I230" i="3"/>
  <c r="J230" i="3"/>
  <c r="M230" i="3"/>
  <c r="N230" i="3" s="1"/>
  <c r="V230" i="3"/>
  <c r="A231" i="3"/>
  <c r="B231" i="3" s="1"/>
  <c r="W230" i="3" l="1"/>
  <c r="AA231" i="3"/>
  <c r="AC231" i="3"/>
  <c r="Z231" i="3"/>
  <c r="AD231" i="3"/>
  <c r="P231" i="3"/>
  <c r="Q231" i="3" s="1"/>
  <c r="R231" i="3" s="1"/>
  <c r="S231" i="3" s="1"/>
  <c r="L230" i="3"/>
  <c r="T231" i="3" l="1"/>
  <c r="AG231" i="3" s="1"/>
  <c r="U230" i="3"/>
  <c r="Y229" i="3"/>
  <c r="AH231" i="3" l="1"/>
  <c r="D231" i="3"/>
  <c r="G231" i="3" s="1"/>
  <c r="E231" i="3"/>
  <c r="H231" i="3" s="1"/>
  <c r="K231" i="3" s="1"/>
  <c r="AE231" i="3" s="1"/>
  <c r="F231" i="3" l="1"/>
  <c r="V231" i="3"/>
  <c r="A232" i="3"/>
  <c r="B232" i="3" s="1"/>
  <c r="I231" i="3"/>
  <c r="J231" i="3"/>
  <c r="M231" i="3"/>
  <c r="N231" i="3" s="1"/>
  <c r="L231" i="3" l="1"/>
  <c r="Z232" i="3"/>
  <c r="P232" i="3"/>
  <c r="Q232" i="3" s="1"/>
  <c r="R232" i="3" s="1"/>
  <c r="S232" i="3" s="1"/>
  <c r="AC232" i="3"/>
  <c r="AD232" i="3"/>
  <c r="AA232" i="3"/>
  <c r="W231" i="3"/>
  <c r="U231" i="3" l="1"/>
  <c r="Y230" i="3"/>
  <c r="T232" i="3"/>
  <c r="E232" i="3" l="1"/>
  <c r="H232" i="3" s="1"/>
  <c r="K232" i="3" s="1"/>
  <c r="AE232" i="3" s="1"/>
  <c r="AG232" i="3"/>
  <c r="AH232" i="3"/>
  <c r="D232" i="3"/>
  <c r="F232" i="3" l="1"/>
  <c r="G232" i="3"/>
  <c r="V232" i="3"/>
  <c r="A233" i="3"/>
  <c r="B233" i="3" s="1"/>
  <c r="AD233" i="3" l="1"/>
  <c r="P233" i="3"/>
  <c r="Q233" i="3" s="1"/>
  <c r="R233" i="3" s="1"/>
  <c r="S233" i="3" s="1"/>
  <c r="AA233" i="3"/>
  <c r="AC233" i="3"/>
  <c r="Z233" i="3"/>
  <c r="I232" i="3"/>
  <c r="W232" i="3" s="1"/>
  <c r="J232" i="3"/>
  <c r="M232" i="3"/>
  <c r="N232" i="3" s="1"/>
  <c r="L232" i="3" l="1"/>
  <c r="T233" i="3"/>
  <c r="AG233" i="3" l="1"/>
  <c r="AH233" i="3"/>
  <c r="U232" i="3"/>
  <c r="D233" i="3" s="1"/>
  <c r="Y231" i="3"/>
  <c r="E233" i="3" l="1"/>
  <c r="H233" i="3" s="1"/>
  <c r="K233" i="3" s="1"/>
  <c r="AE233" i="3" s="1"/>
  <c r="G233" i="3"/>
  <c r="F233" i="3" l="1"/>
  <c r="V233" i="3"/>
  <c r="A234" i="3"/>
  <c r="B234" i="3" s="1"/>
  <c r="I233" i="3"/>
  <c r="J233" i="3"/>
  <c r="M233" i="3"/>
  <c r="N233" i="3" s="1"/>
  <c r="L233" i="3" l="1"/>
  <c r="AA234" i="3"/>
  <c r="P234" i="3"/>
  <c r="Q234" i="3" s="1"/>
  <c r="R234" i="3" s="1"/>
  <c r="S234" i="3" s="1"/>
  <c r="Z234" i="3"/>
  <c r="AC234" i="3"/>
  <c r="W233" i="3"/>
  <c r="T234" i="3" l="1"/>
  <c r="AH234" i="3" s="1"/>
  <c r="U233" i="3"/>
  <c r="Y232" i="3"/>
  <c r="AG234" i="3" l="1"/>
  <c r="D234" i="3"/>
  <c r="G234" i="3" s="1"/>
  <c r="E234" i="3"/>
  <c r="H234" i="3" s="1"/>
  <c r="K234" i="3" s="1"/>
  <c r="AE234" i="3" s="1"/>
  <c r="F234" i="3" l="1"/>
  <c r="V234" i="3"/>
  <c r="A235" i="3"/>
  <c r="B235" i="3" s="1"/>
  <c r="I234" i="3"/>
  <c r="J234" i="3"/>
  <c r="M234" i="3"/>
  <c r="N234" i="3" s="1"/>
  <c r="Z235" i="3" l="1"/>
  <c r="AA235" i="3"/>
  <c r="P235" i="3"/>
  <c r="Q235" i="3" s="1"/>
  <c r="R235" i="3" s="1"/>
  <c r="S235" i="3" s="1"/>
  <c r="AD235" i="3"/>
  <c r="AC235" i="3"/>
  <c r="L234" i="3"/>
  <c r="AD234" i="3"/>
  <c r="W234" i="3"/>
  <c r="U234" i="3" l="1"/>
  <c r="Y233" i="3"/>
  <c r="T235" i="3"/>
  <c r="D235" i="3" l="1"/>
  <c r="G235" i="3" s="1"/>
  <c r="E235" i="3"/>
  <c r="H235" i="3" s="1"/>
  <c r="AG235" i="3"/>
  <c r="AH235" i="3"/>
  <c r="K235" i="3" l="1"/>
  <c r="AE235" i="3" s="1"/>
  <c r="I235" i="3"/>
  <c r="J235" i="3"/>
  <c r="M235" i="3"/>
  <c r="N235" i="3" s="1"/>
  <c r="F235" i="3"/>
  <c r="L235" i="3" l="1"/>
  <c r="V235" i="3"/>
  <c r="W235" i="3" s="1"/>
  <c r="A236" i="3"/>
  <c r="B236" i="3" s="1"/>
  <c r="AA236" i="3" l="1"/>
  <c r="Z236" i="3"/>
  <c r="AD236" i="3"/>
  <c r="P236" i="3"/>
  <c r="Q236" i="3" s="1"/>
  <c r="R236" i="3" s="1"/>
  <c r="S236" i="3" s="1"/>
  <c r="AC236" i="3"/>
  <c r="U235" i="3"/>
  <c r="Y234" i="3"/>
  <c r="T236" i="3" l="1"/>
  <c r="AH236" i="3" s="1"/>
  <c r="E236" i="3" l="1"/>
  <c r="H236" i="3" s="1"/>
  <c r="K236" i="3" s="1"/>
  <c r="AE236" i="3" s="1"/>
  <c r="D236" i="3"/>
  <c r="AG236" i="3"/>
  <c r="F236" i="3" l="1"/>
  <c r="G236" i="3"/>
  <c r="I236" i="3" s="1"/>
  <c r="V236" i="3"/>
  <c r="A237" i="3"/>
  <c r="B237" i="3" s="1"/>
  <c r="M236" i="3" l="1"/>
  <c r="N236" i="3" s="1"/>
  <c r="J236" i="3"/>
  <c r="L236" i="3" s="1"/>
  <c r="W236" i="3"/>
  <c r="AD237" i="3"/>
  <c r="AA237" i="3"/>
  <c r="Z237" i="3"/>
  <c r="AC237" i="3"/>
  <c r="P237" i="3"/>
  <c r="Q237" i="3" s="1"/>
  <c r="R237" i="3" s="1"/>
  <c r="S237" i="3" s="1"/>
  <c r="T237" i="3" l="1"/>
  <c r="AH237" i="3" s="1"/>
  <c r="U236" i="3"/>
  <c r="Y235" i="3"/>
  <c r="D237" i="3" l="1"/>
  <c r="G237" i="3" s="1"/>
  <c r="AG237" i="3"/>
  <c r="E237" i="3"/>
  <c r="H237" i="3" s="1"/>
  <c r="K237" i="3" s="1"/>
  <c r="AE237" i="3" s="1"/>
  <c r="F237" i="3" l="1"/>
  <c r="V237" i="3"/>
  <c r="A238" i="3"/>
  <c r="B238" i="3" s="1"/>
  <c r="I237" i="3"/>
  <c r="J237" i="3"/>
  <c r="M237" i="3"/>
  <c r="N237" i="3" s="1"/>
  <c r="L237" i="3" l="1"/>
  <c r="Z238" i="3"/>
  <c r="P238" i="3"/>
  <c r="Q238" i="3" s="1"/>
  <c r="R238" i="3" s="1"/>
  <c r="S238" i="3" s="1"/>
  <c r="AD238" i="3"/>
  <c r="AA238" i="3"/>
  <c r="AC238" i="3"/>
  <c r="W237" i="3"/>
  <c r="T238" i="3" l="1"/>
  <c r="AG238" i="3" s="1"/>
  <c r="U237" i="3"/>
  <c r="Y236" i="3"/>
  <c r="AH238" i="3" l="1"/>
  <c r="D238" i="3"/>
  <c r="G238" i="3" s="1"/>
  <c r="E238" i="3"/>
  <c r="H238" i="3" s="1"/>
  <c r="K238" i="3" s="1"/>
  <c r="AE238" i="3" s="1"/>
  <c r="F238" i="3" l="1"/>
  <c r="I238" i="3"/>
  <c r="J238" i="3"/>
  <c r="M238" i="3"/>
  <c r="N238" i="3" s="1"/>
  <c r="V238" i="3"/>
  <c r="A239" i="3"/>
  <c r="B239" i="3" s="1"/>
  <c r="W238" i="3" l="1"/>
  <c r="AA239" i="3"/>
  <c r="P239" i="3"/>
  <c r="Q239" i="3" s="1"/>
  <c r="R239" i="3" s="1"/>
  <c r="S239" i="3" s="1"/>
  <c r="AC239" i="3"/>
  <c r="Z239" i="3"/>
  <c r="AD239" i="3"/>
  <c r="L238" i="3"/>
  <c r="T239" i="3" l="1"/>
  <c r="AH239" i="3" s="1"/>
  <c r="U238" i="3"/>
  <c r="Y237" i="3"/>
  <c r="E239" i="3" l="1"/>
  <c r="H239" i="3" s="1"/>
  <c r="K239" i="3" s="1"/>
  <c r="AE239" i="3" s="1"/>
  <c r="AG239" i="3"/>
  <c r="D239" i="3"/>
  <c r="F239" i="3" l="1"/>
  <c r="G239" i="3"/>
  <c r="I239" i="3" s="1"/>
  <c r="V239" i="3"/>
  <c r="A240" i="3"/>
  <c r="B240" i="3" s="1"/>
  <c r="M239" i="3" l="1"/>
  <c r="N239" i="3" s="1"/>
  <c r="J239" i="3"/>
  <c r="L239" i="3" s="1"/>
  <c r="W239" i="3"/>
  <c r="AA240" i="3"/>
  <c r="AC240" i="3"/>
  <c r="AD240" i="3"/>
  <c r="Z240" i="3"/>
  <c r="P240" i="3"/>
  <c r="Q240" i="3" s="1"/>
  <c r="R240" i="3" s="1"/>
  <c r="S240" i="3" s="1"/>
  <c r="T240" i="3" l="1"/>
  <c r="AG240" i="3" s="1"/>
  <c r="U239" i="3"/>
  <c r="Y238" i="3"/>
  <c r="AH240" i="3" l="1"/>
  <c r="E240" i="3"/>
  <c r="H240" i="3" s="1"/>
  <c r="K240" i="3" s="1"/>
  <c r="AE240" i="3" s="1"/>
  <c r="D240" i="3"/>
  <c r="F240" i="3" l="1"/>
  <c r="G240" i="3"/>
  <c r="I240" i="3" s="1"/>
  <c r="V240" i="3"/>
  <c r="A241" i="3"/>
  <c r="B241" i="3" s="1"/>
  <c r="M240" i="3" l="1"/>
  <c r="N240" i="3" s="1"/>
  <c r="J240" i="3"/>
  <c r="L240" i="3" s="1"/>
  <c r="AD241" i="3"/>
  <c r="Z241" i="3"/>
  <c r="AC241" i="3"/>
  <c r="AA241" i="3"/>
  <c r="P241" i="3"/>
  <c r="Q241" i="3" s="1"/>
  <c r="R241" i="3" s="1"/>
  <c r="S241" i="3" s="1"/>
  <c r="W240" i="3"/>
  <c r="T241" i="3" l="1"/>
  <c r="AG241" i="3" s="1"/>
  <c r="U240" i="3"/>
  <c r="Y239" i="3"/>
  <c r="AH241" i="3" l="1"/>
  <c r="D241" i="3"/>
  <c r="G241" i="3" s="1"/>
  <c r="E241" i="3"/>
  <c r="H241" i="3" s="1"/>
  <c r="K241" i="3" s="1"/>
  <c r="AE241" i="3" s="1"/>
  <c r="F241" i="3" l="1"/>
  <c r="V241" i="3"/>
  <c r="A242" i="3"/>
  <c r="B242" i="3" s="1"/>
  <c r="I241" i="3"/>
  <c r="J241" i="3"/>
  <c r="M241" i="3"/>
  <c r="N241" i="3" s="1"/>
  <c r="AC242" i="3" l="1"/>
  <c r="Z242" i="3"/>
  <c r="AD242" i="3"/>
  <c r="AA242" i="3"/>
  <c r="P242" i="3"/>
  <c r="Q242" i="3" s="1"/>
  <c r="R242" i="3" s="1"/>
  <c r="S242" i="3" s="1"/>
  <c r="L241" i="3"/>
  <c r="W241" i="3"/>
  <c r="T242" i="3" l="1"/>
  <c r="AG242" i="3" s="1"/>
  <c r="U241" i="3"/>
  <c r="Y240" i="3"/>
  <c r="AH242" i="3" l="1"/>
  <c r="D242" i="3"/>
  <c r="E242" i="3"/>
  <c r="H242" i="3" s="1"/>
  <c r="K242" i="3" s="1"/>
  <c r="AE242" i="3" s="1"/>
  <c r="F242" i="3" l="1"/>
  <c r="G242" i="3"/>
  <c r="I242" i="3" s="1"/>
  <c r="V242" i="3"/>
  <c r="A243" i="3"/>
  <c r="B243" i="3" s="1"/>
  <c r="M242" i="3" l="1"/>
  <c r="N242" i="3" s="1"/>
  <c r="W242" i="3"/>
  <c r="J242" i="3"/>
  <c r="L242" i="3" s="1"/>
  <c r="AD243" i="3"/>
  <c r="P243" i="3"/>
  <c r="Q243" i="3" s="1"/>
  <c r="R243" i="3" s="1"/>
  <c r="S243" i="3" s="1"/>
  <c r="AC243" i="3"/>
  <c r="AA243" i="3"/>
  <c r="Z243" i="3"/>
  <c r="U242" i="3" l="1"/>
  <c r="Y241" i="3"/>
  <c r="T243" i="3"/>
  <c r="AG243" i="3" s="1"/>
  <c r="E243" i="3" l="1"/>
  <c r="H243" i="3" s="1"/>
  <c r="K243" i="3" s="1"/>
  <c r="AE243" i="3" s="1"/>
  <c r="AH243" i="3"/>
  <c r="D243" i="3"/>
  <c r="F243" i="3" l="1"/>
  <c r="G243" i="3"/>
  <c r="I243" i="3" s="1"/>
  <c r="V243" i="3"/>
  <c r="A244" i="3"/>
  <c r="B244" i="3" s="1"/>
  <c r="M243" i="3" l="1"/>
  <c r="N243" i="3" s="1"/>
  <c r="J243" i="3"/>
  <c r="L243" i="3" s="1"/>
  <c r="W243" i="3"/>
  <c r="AA244" i="3"/>
  <c r="AC244" i="3"/>
  <c r="Z244" i="3"/>
  <c r="P244" i="3"/>
  <c r="Q244" i="3" s="1"/>
  <c r="R244" i="3" s="1"/>
  <c r="S244" i="3" s="1"/>
  <c r="U243" i="3" l="1"/>
  <c r="Y242" i="3"/>
  <c r="T244" i="3"/>
  <c r="AG244" i="3" s="1"/>
  <c r="D244" i="3" l="1"/>
  <c r="G244" i="3" s="1"/>
  <c r="AH244" i="3"/>
  <c r="E244" i="3"/>
  <c r="H244" i="3" s="1"/>
  <c r="K244" i="3" s="1"/>
  <c r="AE244" i="3" s="1"/>
  <c r="F244" i="3" l="1"/>
  <c r="V244" i="3"/>
  <c r="A245" i="3"/>
  <c r="B245" i="3" s="1"/>
  <c r="I244" i="3"/>
  <c r="J244" i="3"/>
  <c r="M244" i="3"/>
  <c r="N244" i="3" s="1"/>
  <c r="AC245" i="3" l="1"/>
  <c r="P245" i="3"/>
  <c r="Q245" i="3" s="1"/>
  <c r="R245" i="3" s="1"/>
  <c r="S245" i="3" s="1"/>
  <c r="AA245" i="3"/>
  <c r="Z245" i="3"/>
  <c r="AD245" i="3"/>
  <c r="L244" i="3"/>
  <c r="AD244" i="3"/>
  <c r="W244" i="3"/>
  <c r="U244" i="3" l="1"/>
  <c r="Y243" i="3"/>
  <c r="T245" i="3"/>
  <c r="D245" i="3" l="1"/>
  <c r="G245" i="3" s="1"/>
  <c r="AG245" i="3"/>
  <c r="AH245" i="3"/>
  <c r="E245" i="3"/>
  <c r="H245" i="3" s="1"/>
  <c r="K245" i="3" s="1"/>
  <c r="AE245" i="3" s="1"/>
  <c r="F245" i="3" l="1"/>
  <c r="V245" i="3"/>
  <c r="A246" i="3"/>
  <c r="B246" i="3" s="1"/>
  <c r="I245" i="3"/>
  <c r="J245" i="3"/>
  <c r="M245" i="3"/>
  <c r="N245" i="3" s="1"/>
  <c r="Z246" i="3" l="1"/>
  <c r="AD246" i="3"/>
  <c r="AC246" i="3"/>
  <c r="AA246" i="3"/>
  <c r="P246" i="3"/>
  <c r="Q246" i="3" s="1"/>
  <c r="R246" i="3" s="1"/>
  <c r="S246" i="3" s="1"/>
  <c r="L245" i="3"/>
  <c r="W245" i="3"/>
  <c r="T246" i="3" l="1"/>
  <c r="AG246" i="3" s="1"/>
  <c r="U245" i="3"/>
  <c r="Y244" i="3"/>
  <c r="E246" i="3" l="1"/>
  <c r="H246" i="3" s="1"/>
  <c r="K246" i="3" s="1"/>
  <c r="AE246" i="3" s="1"/>
  <c r="D246" i="3"/>
  <c r="AH246" i="3"/>
  <c r="F246" i="3" l="1"/>
  <c r="G246" i="3"/>
  <c r="I246" i="3" s="1"/>
  <c r="V246" i="3"/>
  <c r="A247" i="3"/>
  <c r="B247" i="3" s="1"/>
  <c r="J246" i="3" l="1"/>
  <c r="L246" i="3" s="1"/>
  <c r="M246" i="3"/>
  <c r="N246" i="3" s="1"/>
  <c r="W246" i="3"/>
  <c r="Z247" i="3"/>
  <c r="AD247" i="3"/>
  <c r="AC247" i="3"/>
  <c r="AA247" i="3"/>
  <c r="P247" i="3"/>
  <c r="Q247" i="3" s="1"/>
  <c r="R247" i="3" s="1"/>
  <c r="S247" i="3" s="1"/>
  <c r="T247" i="3" l="1"/>
  <c r="AH247" i="3" s="1"/>
  <c r="U246" i="3"/>
  <c r="Y245" i="3"/>
  <c r="E247" i="3" l="1"/>
  <c r="H247" i="3" s="1"/>
  <c r="K247" i="3" s="1"/>
  <c r="AE247" i="3" s="1"/>
  <c r="D247" i="3"/>
  <c r="AG247" i="3"/>
  <c r="F247" i="3" l="1"/>
  <c r="G247" i="3"/>
  <c r="I247" i="3" s="1"/>
  <c r="V247" i="3"/>
  <c r="A248" i="3"/>
  <c r="B248" i="3" s="1"/>
  <c r="M247" i="3" l="1"/>
  <c r="N247" i="3" s="1"/>
  <c r="J247" i="3"/>
  <c r="L247" i="3" s="1"/>
  <c r="W247" i="3"/>
  <c r="AA248" i="3"/>
  <c r="AC248" i="3"/>
  <c r="AD248" i="3"/>
  <c r="Z248" i="3"/>
  <c r="P248" i="3"/>
  <c r="Q248" i="3" s="1"/>
  <c r="R248" i="3" s="1"/>
  <c r="S248" i="3" s="1"/>
  <c r="T248" i="3" l="1"/>
  <c r="AH248" i="3" s="1"/>
  <c r="U247" i="3"/>
  <c r="Y246" i="3"/>
  <c r="AG248" i="3" l="1"/>
  <c r="E248" i="3"/>
  <c r="H248" i="3" s="1"/>
  <c r="K248" i="3" s="1"/>
  <c r="AE248" i="3" s="1"/>
  <c r="D248" i="3"/>
  <c r="F248" i="3" l="1"/>
  <c r="G248" i="3"/>
  <c r="V248" i="3"/>
  <c r="A249" i="3"/>
  <c r="B249" i="3" s="1"/>
  <c r="AD249" i="3" l="1"/>
  <c r="P249" i="3"/>
  <c r="Q249" i="3" s="1"/>
  <c r="R249" i="3" s="1"/>
  <c r="S249" i="3" s="1"/>
  <c r="AA249" i="3"/>
  <c r="AC249" i="3"/>
  <c r="Z249" i="3"/>
  <c r="I248" i="3"/>
  <c r="W248" i="3" s="1"/>
  <c r="J248" i="3"/>
  <c r="M248" i="3"/>
  <c r="N248" i="3" s="1"/>
  <c r="L248" i="3" l="1"/>
  <c r="T249" i="3"/>
  <c r="AG249" i="3" l="1"/>
  <c r="AH249" i="3"/>
  <c r="U248" i="3"/>
  <c r="D249" i="3" s="1"/>
  <c r="Y247" i="3"/>
  <c r="G249" i="3" l="1"/>
  <c r="E249" i="3"/>
  <c r="H249" i="3" s="1"/>
  <c r="K249" i="3" l="1"/>
  <c r="AE249" i="3" s="1"/>
  <c r="I249" i="3"/>
  <c r="J249" i="3"/>
  <c r="M249" i="3"/>
  <c r="N249" i="3" s="1"/>
  <c r="F249" i="3"/>
  <c r="L249" i="3" l="1"/>
  <c r="V249" i="3"/>
  <c r="W249" i="3" s="1"/>
  <c r="A250" i="3"/>
  <c r="B250" i="3" s="1"/>
  <c r="AA250" i="3" l="1"/>
  <c r="AC250" i="3"/>
  <c r="P250" i="3"/>
  <c r="Q250" i="3" s="1"/>
  <c r="R250" i="3" s="1"/>
  <c r="S250" i="3" s="1"/>
  <c r="Z250" i="3"/>
  <c r="AD250" i="3"/>
  <c r="U249" i="3"/>
  <c r="Y248" i="3"/>
  <c r="T250" i="3" l="1"/>
  <c r="AG250" i="3" s="1"/>
  <c r="D250" i="3" l="1"/>
  <c r="G250" i="3" s="1"/>
  <c r="E250" i="3"/>
  <c r="H250" i="3" s="1"/>
  <c r="AH250" i="3"/>
  <c r="F250" i="3" l="1"/>
  <c r="I250" i="3"/>
  <c r="J250" i="3"/>
  <c r="M250" i="3"/>
  <c r="N250" i="3" s="1"/>
  <c r="K250" i="3"/>
  <c r="AE250" i="3" s="1"/>
  <c r="V250" i="3" l="1"/>
  <c r="W250" i="3" s="1"/>
  <c r="A251" i="3"/>
  <c r="B251" i="3" s="1"/>
  <c r="L250" i="3"/>
  <c r="Z251" i="3" l="1"/>
  <c r="AD251" i="3"/>
  <c r="AA251" i="3"/>
  <c r="P251" i="3"/>
  <c r="Q251" i="3" s="1"/>
  <c r="R251" i="3" s="1"/>
  <c r="S251" i="3" s="1"/>
  <c r="AC251" i="3"/>
  <c r="U250" i="3"/>
  <c r="Y249" i="3"/>
  <c r="T251" i="3" l="1"/>
  <c r="E251" i="3" s="1"/>
  <c r="H251" i="3" s="1"/>
  <c r="AH251" i="3" l="1"/>
  <c r="D251" i="3"/>
  <c r="F251" i="3" s="1"/>
  <c r="AG251" i="3"/>
  <c r="K251" i="3"/>
  <c r="AE251" i="3" s="1"/>
  <c r="G251" i="3" l="1"/>
  <c r="I251" i="3" s="1"/>
  <c r="V251" i="3"/>
  <c r="A252" i="3"/>
  <c r="B252" i="3" s="1"/>
  <c r="J251" i="3" l="1"/>
  <c r="L251" i="3" s="1"/>
  <c r="M251" i="3"/>
  <c r="N251" i="3" s="1"/>
  <c r="P252" i="3"/>
  <c r="Q252" i="3" s="1"/>
  <c r="R252" i="3" s="1"/>
  <c r="S252" i="3" s="1"/>
  <c r="AA252" i="3"/>
  <c r="AC252" i="3"/>
  <c r="AD252" i="3"/>
  <c r="Z252" i="3"/>
  <c r="W251" i="3"/>
  <c r="T252" i="3" l="1"/>
  <c r="AH252" i="3" s="1"/>
  <c r="U251" i="3"/>
  <c r="Y250" i="3"/>
  <c r="AG252" i="3" l="1"/>
  <c r="E252" i="3"/>
  <c r="H252" i="3" s="1"/>
  <c r="K252" i="3" s="1"/>
  <c r="AE252" i="3" s="1"/>
  <c r="D252" i="3"/>
  <c r="G252" i="3" s="1"/>
  <c r="F252" i="3" l="1"/>
  <c r="I252" i="3"/>
  <c r="J252" i="3"/>
  <c r="M252" i="3"/>
  <c r="N252" i="3" s="1"/>
  <c r="V252" i="3"/>
  <c r="A253" i="3"/>
  <c r="B253" i="3" s="1"/>
  <c r="W252" i="3" l="1"/>
  <c r="AA253" i="3"/>
  <c r="AD253" i="3"/>
  <c r="AC253" i="3"/>
  <c r="Z253" i="3"/>
  <c r="P253" i="3"/>
  <c r="Q253" i="3" s="1"/>
  <c r="R253" i="3" s="1"/>
  <c r="S253" i="3" s="1"/>
  <c r="L252" i="3"/>
  <c r="T253" i="3" l="1"/>
  <c r="AH253" i="3" s="1"/>
  <c r="U252" i="3"/>
  <c r="Y251" i="3"/>
  <c r="D253" i="3" l="1"/>
  <c r="G253" i="3" s="1"/>
  <c r="AG253" i="3"/>
  <c r="E253" i="3"/>
  <c r="H253" i="3" s="1"/>
  <c r="K253" i="3" s="1"/>
  <c r="AE253" i="3" s="1"/>
  <c r="F253" i="3" l="1"/>
  <c r="I253" i="3"/>
  <c r="J253" i="3"/>
  <c r="M253" i="3"/>
  <c r="N253" i="3" s="1"/>
  <c r="V253" i="3"/>
  <c r="A254" i="3"/>
  <c r="B254" i="3" s="1"/>
  <c r="W253" i="3" l="1"/>
  <c r="Z254" i="3"/>
  <c r="AA254" i="3"/>
  <c r="P254" i="3"/>
  <c r="Q254" i="3" s="1"/>
  <c r="R254" i="3" s="1"/>
  <c r="S254" i="3" s="1"/>
  <c r="AC254" i="3"/>
  <c r="L253" i="3"/>
  <c r="T254" i="3" l="1"/>
  <c r="AG254" i="3" s="1"/>
  <c r="U253" i="3"/>
  <c r="Y252" i="3"/>
  <c r="AH254" i="3" l="1"/>
  <c r="E254" i="3"/>
  <c r="H254" i="3" s="1"/>
  <c r="K254" i="3" s="1"/>
  <c r="AE254" i="3" s="1"/>
  <c r="D254" i="3"/>
  <c r="F254" i="3" l="1"/>
  <c r="G254" i="3"/>
  <c r="V254" i="3"/>
  <c r="A255" i="3"/>
  <c r="B255" i="3" s="1"/>
  <c r="AA255" i="3" l="1"/>
  <c r="AC255" i="3"/>
  <c r="AD255" i="3"/>
  <c r="P255" i="3"/>
  <c r="Q255" i="3" s="1"/>
  <c r="R255" i="3" s="1"/>
  <c r="S255" i="3" s="1"/>
  <c r="Z255" i="3"/>
  <c r="I254" i="3"/>
  <c r="W254" i="3" s="1"/>
  <c r="J254" i="3"/>
  <c r="M254" i="3"/>
  <c r="N254" i="3" s="1"/>
  <c r="T255" i="3" l="1"/>
  <c r="L254" i="3"/>
  <c r="AD254" i="3"/>
  <c r="AH255" i="3" l="1"/>
  <c r="AG255" i="3"/>
  <c r="U254" i="3"/>
  <c r="D255" i="3" s="1"/>
  <c r="Y253" i="3"/>
  <c r="E255" i="3" l="1"/>
  <c r="H255" i="3" s="1"/>
  <c r="K255" i="3" s="1"/>
  <c r="AE255" i="3" s="1"/>
  <c r="G255" i="3"/>
  <c r="F255" i="3" l="1"/>
  <c r="I255" i="3"/>
  <c r="J255" i="3"/>
  <c r="M255" i="3"/>
  <c r="N255" i="3" s="1"/>
  <c r="V255" i="3"/>
  <c r="A256" i="3"/>
  <c r="B256" i="3" s="1"/>
  <c r="W255" i="3" l="1"/>
  <c r="Z256" i="3"/>
  <c r="AC256" i="3"/>
  <c r="AA256" i="3"/>
  <c r="P256" i="3"/>
  <c r="Q256" i="3" s="1"/>
  <c r="R256" i="3" s="1"/>
  <c r="S256" i="3" s="1"/>
  <c r="AD256" i="3"/>
  <c r="L255" i="3"/>
  <c r="T256" i="3" l="1"/>
  <c r="AH256" i="3" s="1"/>
  <c r="U255" i="3"/>
  <c r="Y254" i="3"/>
  <c r="D256" i="3" l="1"/>
  <c r="E256" i="3"/>
  <c r="H256" i="3" s="1"/>
  <c r="K256" i="3" s="1"/>
  <c r="AE256" i="3" s="1"/>
  <c r="AG256" i="3"/>
  <c r="F256" i="3" l="1"/>
  <c r="G256" i="3"/>
  <c r="J256" i="3" s="1"/>
  <c r="V256" i="3"/>
  <c r="A257" i="3"/>
  <c r="B257" i="3" s="1"/>
  <c r="I256" i="3" l="1"/>
  <c r="W256" i="3" s="1"/>
  <c r="M256" i="3"/>
  <c r="N256" i="3" s="1"/>
  <c r="L256" i="3"/>
  <c r="AD257" i="3"/>
  <c r="AC257" i="3"/>
  <c r="Z257" i="3"/>
  <c r="AA257" i="3"/>
  <c r="P257" i="3"/>
  <c r="Q257" i="3" s="1"/>
  <c r="R257" i="3" s="1"/>
  <c r="S257" i="3" s="1"/>
  <c r="T257" i="3" l="1"/>
  <c r="AG257" i="3" s="1"/>
  <c r="U256" i="3"/>
  <c r="Y255" i="3"/>
  <c r="D257" i="3" l="1"/>
  <c r="G257" i="3" s="1"/>
  <c r="AH257" i="3"/>
  <c r="E257" i="3"/>
  <c r="H257" i="3" s="1"/>
  <c r="K257" i="3" s="1"/>
  <c r="AE257" i="3" s="1"/>
  <c r="F257" i="3" l="1"/>
  <c r="V257" i="3"/>
  <c r="A258" i="3"/>
  <c r="B258" i="3" s="1"/>
  <c r="I257" i="3"/>
  <c r="J257" i="3"/>
  <c r="M257" i="3"/>
  <c r="N257" i="3" s="1"/>
  <c r="L257" i="3" l="1"/>
  <c r="AD258" i="3"/>
  <c r="Z258" i="3"/>
  <c r="P258" i="3"/>
  <c r="Q258" i="3" s="1"/>
  <c r="R258" i="3" s="1"/>
  <c r="S258" i="3" s="1"/>
  <c r="AC258" i="3"/>
  <c r="AA258" i="3"/>
  <c r="W257" i="3"/>
  <c r="T258" i="3" l="1"/>
  <c r="AH258" i="3" s="1"/>
  <c r="U257" i="3"/>
  <c r="Y256" i="3"/>
  <c r="D258" i="3" l="1"/>
  <c r="G258" i="3" s="1"/>
  <c r="AG258" i="3"/>
  <c r="E258" i="3"/>
  <c r="H258" i="3" s="1"/>
  <c r="K258" i="3" s="1"/>
  <c r="AE258" i="3" s="1"/>
  <c r="F258" i="3" l="1"/>
  <c r="V258" i="3"/>
  <c r="A259" i="3"/>
  <c r="B259" i="3" s="1"/>
  <c r="I258" i="3"/>
  <c r="J258" i="3"/>
  <c r="M258" i="3"/>
  <c r="N258" i="3" s="1"/>
  <c r="W258" i="3" l="1"/>
  <c r="L258" i="3"/>
  <c r="AC259" i="3"/>
  <c r="P259" i="3"/>
  <c r="Q259" i="3" s="1"/>
  <c r="R259" i="3" s="1"/>
  <c r="S259" i="3" s="1"/>
  <c r="AA259" i="3"/>
  <c r="Z259" i="3"/>
  <c r="AD259" i="3"/>
  <c r="U258" i="3" l="1"/>
  <c r="Y257" i="3"/>
  <c r="T259" i="3"/>
  <c r="E259" i="3" l="1"/>
  <c r="H259" i="3" s="1"/>
  <c r="K259" i="3" s="1"/>
  <c r="AE259" i="3" s="1"/>
  <c r="D259" i="3"/>
  <c r="AH259" i="3"/>
  <c r="AG259" i="3"/>
  <c r="F259" i="3" l="1"/>
  <c r="G259" i="3"/>
  <c r="I259" i="3" s="1"/>
  <c r="V259" i="3"/>
  <c r="A260" i="3"/>
  <c r="B260" i="3" s="1"/>
  <c r="M259" i="3" l="1"/>
  <c r="N259" i="3" s="1"/>
  <c r="W259" i="3"/>
  <c r="J259" i="3"/>
  <c r="L259" i="3" s="1"/>
  <c r="AD260" i="3"/>
  <c r="Z260" i="3"/>
  <c r="AC260" i="3"/>
  <c r="AA260" i="3"/>
  <c r="P260" i="3"/>
  <c r="Q260" i="3" s="1"/>
  <c r="R260" i="3" s="1"/>
  <c r="S260" i="3" s="1"/>
  <c r="T260" i="3" l="1"/>
  <c r="AH260" i="3" s="1"/>
  <c r="U259" i="3"/>
  <c r="Y258" i="3"/>
  <c r="AG260" i="3" l="1"/>
  <c r="D260" i="3"/>
  <c r="G260" i="3" s="1"/>
  <c r="E260" i="3"/>
  <c r="H260" i="3" s="1"/>
  <c r="K260" i="3" l="1"/>
  <c r="AE260" i="3" s="1"/>
  <c r="I260" i="3"/>
  <c r="J260" i="3"/>
  <c r="M260" i="3"/>
  <c r="N260" i="3" s="1"/>
  <c r="F260" i="3"/>
  <c r="L260" i="3" l="1"/>
  <c r="V260" i="3"/>
  <c r="W260" i="3" s="1"/>
  <c r="A261" i="3"/>
  <c r="B261" i="3" s="1"/>
  <c r="AA261" i="3" l="1"/>
  <c r="AD261" i="3"/>
  <c r="P261" i="3"/>
  <c r="Q261" i="3" s="1"/>
  <c r="R261" i="3" s="1"/>
  <c r="S261" i="3" s="1"/>
  <c r="Z261" i="3"/>
  <c r="AC261" i="3"/>
  <c r="U260" i="3"/>
  <c r="Y259" i="3"/>
  <c r="T261" i="3" l="1"/>
  <c r="E261" i="3" s="1"/>
  <c r="H261" i="3" s="1"/>
  <c r="AH261" i="3" l="1"/>
  <c r="D261" i="3"/>
  <c r="F261" i="3" s="1"/>
  <c r="AG261" i="3"/>
  <c r="K261" i="3"/>
  <c r="AE261" i="3" s="1"/>
  <c r="G261" i="3" l="1"/>
  <c r="I261" i="3" s="1"/>
  <c r="V261" i="3"/>
  <c r="A262" i="3"/>
  <c r="B262" i="3" s="1"/>
  <c r="M261" i="3" l="1"/>
  <c r="N261" i="3" s="1"/>
  <c r="J261" i="3"/>
  <c r="L261" i="3" s="1"/>
  <c r="W261" i="3"/>
  <c r="AA262" i="3"/>
  <c r="Z262" i="3"/>
  <c r="P262" i="3"/>
  <c r="Q262" i="3" s="1"/>
  <c r="R262" i="3" s="1"/>
  <c r="S262" i="3" s="1"/>
  <c r="AD262" i="3"/>
  <c r="AC262" i="3"/>
  <c r="T262" i="3" l="1"/>
  <c r="AG262" i="3" s="1"/>
  <c r="U261" i="3"/>
  <c r="Y260" i="3"/>
  <c r="AH262" i="3" l="1"/>
  <c r="D262" i="3"/>
  <c r="G262" i="3" s="1"/>
  <c r="E262" i="3"/>
  <c r="H262" i="3" s="1"/>
  <c r="K262" i="3" s="1"/>
  <c r="AE262" i="3" s="1"/>
  <c r="F262" i="3" l="1"/>
  <c r="I262" i="3"/>
  <c r="J262" i="3"/>
  <c r="M262" i="3"/>
  <c r="N262" i="3" s="1"/>
  <c r="V262" i="3"/>
  <c r="A263" i="3"/>
  <c r="B263" i="3" s="1"/>
  <c r="W262" i="3" l="1"/>
  <c r="Z263" i="3"/>
  <c r="AD263" i="3"/>
  <c r="AC263" i="3"/>
  <c r="AA263" i="3"/>
  <c r="P263" i="3"/>
  <c r="Q263" i="3" s="1"/>
  <c r="R263" i="3" s="1"/>
  <c r="S263" i="3" s="1"/>
  <c r="L262" i="3"/>
  <c r="T263" i="3" l="1"/>
  <c r="AG263" i="3" s="1"/>
  <c r="U262" i="3"/>
  <c r="Y261" i="3"/>
  <c r="AH263" i="3" l="1"/>
  <c r="E263" i="3"/>
  <c r="H263" i="3" s="1"/>
  <c r="K263" i="3" s="1"/>
  <c r="AE263" i="3" s="1"/>
  <c r="D263" i="3"/>
  <c r="F263" i="3" l="1"/>
  <c r="G263" i="3"/>
  <c r="V263" i="3"/>
  <c r="A264" i="3"/>
  <c r="B264" i="3" s="1"/>
  <c r="Z264" i="3" l="1"/>
  <c r="P264" i="3"/>
  <c r="Q264" i="3" s="1"/>
  <c r="R264" i="3" s="1"/>
  <c r="S264" i="3" s="1"/>
  <c r="AA264" i="3"/>
  <c r="AD264" i="3"/>
  <c r="AC264" i="3"/>
  <c r="I263" i="3"/>
  <c r="W263" i="3" s="1"/>
  <c r="J263" i="3"/>
  <c r="M263" i="3"/>
  <c r="N263" i="3" s="1"/>
  <c r="L263" i="3" l="1"/>
  <c r="T264" i="3"/>
  <c r="U263" i="3" l="1"/>
  <c r="D264" i="3" s="1"/>
  <c r="AG264" i="3"/>
  <c r="AH264" i="3"/>
  <c r="Y262" i="3"/>
  <c r="E264" i="3" l="1"/>
  <c r="H264" i="3" s="1"/>
  <c r="K264" i="3" s="1"/>
  <c r="AE264" i="3" s="1"/>
  <c r="G264" i="3"/>
  <c r="F264" i="3" l="1"/>
  <c r="V264" i="3"/>
  <c r="A265" i="3"/>
  <c r="B265" i="3" s="1"/>
  <c r="I264" i="3"/>
  <c r="J264" i="3"/>
  <c r="M264" i="3"/>
  <c r="N264" i="3" s="1"/>
  <c r="L264" i="3" l="1"/>
  <c r="AA265" i="3"/>
  <c r="Z265" i="3"/>
  <c r="AD265" i="3"/>
  <c r="AC265" i="3"/>
  <c r="P265" i="3"/>
  <c r="Q265" i="3" s="1"/>
  <c r="R265" i="3" s="1"/>
  <c r="S265" i="3" s="1"/>
  <c r="W264" i="3"/>
  <c r="T265" i="3" l="1"/>
  <c r="AG265" i="3" s="1"/>
  <c r="U264" i="3"/>
  <c r="Y263" i="3"/>
  <c r="D265" i="3" l="1"/>
  <c r="G265" i="3" s="1"/>
  <c r="AH265" i="3"/>
  <c r="E265" i="3"/>
  <c r="H265" i="3" s="1"/>
  <c r="I265" i="3" l="1"/>
  <c r="J265" i="3"/>
  <c r="M265" i="3"/>
  <c r="N265" i="3" s="1"/>
  <c r="K265" i="3"/>
  <c r="AE265" i="3" s="1"/>
  <c r="F265" i="3"/>
  <c r="V265" i="3" l="1"/>
  <c r="W265" i="3" s="1"/>
  <c r="A266" i="3"/>
  <c r="B266" i="3" s="1"/>
  <c r="L265" i="3"/>
  <c r="U265" i="3" l="1"/>
  <c r="Y264" i="3"/>
  <c r="AD266" i="3"/>
  <c r="P266" i="3"/>
  <c r="Q266" i="3" s="1"/>
  <c r="R266" i="3" s="1"/>
  <c r="S266" i="3" s="1"/>
  <c r="AA266" i="3"/>
  <c r="AC266" i="3"/>
  <c r="Z266" i="3"/>
  <c r="T266" i="3" l="1"/>
  <c r="AG266" i="3" s="1"/>
  <c r="AH266" i="3" l="1"/>
  <c r="D266" i="3"/>
  <c r="G266" i="3" s="1"/>
  <c r="E266" i="3"/>
  <c r="H266" i="3" s="1"/>
  <c r="K266" i="3" l="1"/>
  <c r="AE266" i="3" s="1"/>
  <c r="I266" i="3"/>
  <c r="J266" i="3"/>
  <c r="M266" i="3"/>
  <c r="N266" i="3" s="1"/>
  <c r="F266" i="3"/>
  <c r="V266" i="3" l="1"/>
  <c r="W266" i="3" s="1"/>
  <c r="A267" i="3"/>
  <c r="B267" i="3" s="1"/>
  <c r="L266" i="3"/>
  <c r="U266" i="3" l="1"/>
  <c r="Y265" i="3"/>
  <c r="AD267" i="3"/>
  <c r="AC267" i="3"/>
  <c r="P267" i="3"/>
  <c r="Q267" i="3" s="1"/>
  <c r="R267" i="3" s="1"/>
  <c r="S267" i="3" s="1"/>
  <c r="Z267" i="3"/>
  <c r="AA267" i="3"/>
  <c r="T267" i="3" l="1"/>
  <c r="AH267" i="3" s="1"/>
  <c r="D267" i="3" l="1"/>
  <c r="G267" i="3" s="1"/>
  <c r="E267" i="3"/>
  <c r="H267" i="3" s="1"/>
  <c r="K267" i="3" s="1"/>
  <c r="AE267" i="3" s="1"/>
  <c r="AG267" i="3"/>
  <c r="F267" i="3" l="1"/>
  <c r="I267" i="3"/>
  <c r="J267" i="3"/>
  <c r="M267" i="3"/>
  <c r="N267" i="3" s="1"/>
  <c r="V267" i="3"/>
  <c r="A268" i="3"/>
  <c r="B268" i="3" s="1"/>
  <c r="W267" i="3" l="1"/>
  <c r="Z268" i="3"/>
  <c r="AA268" i="3"/>
  <c r="AC268" i="3"/>
  <c r="P268" i="3"/>
  <c r="Q268" i="3" s="1"/>
  <c r="R268" i="3" s="1"/>
  <c r="S268" i="3" s="1"/>
  <c r="AD268" i="3"/>
  <c r="L267" i="3"/>
  <c r="T268" i="3" l="1"/>
  <c r="AG268" i="3" s="1"/>
  <c r="U267" i="3"/>
  <c r="Y266" i="3"/>
  <c r="D268" i="3" l="1"/>
  <c r="G268" i="3" s="1"/>
  <c r="AH268" i="3"/>
  <c r="E268" i="3"/>
  <c r="H268" i="3" s="1"/>
  <c r="K268" i="3" s="1"/>
  <c r="AE268" i="3" s="1"/>
  <c r="F268" i="3" l="1"/>
  <c r="V268" i="3"/>
  <c r="A269" i="3"/>
  <c r="B269" i="3" s="1"/>
  <c r="I268" i="3"/>
  <c r="J268" i="3"/>
  <c r="M268" i="3"/>
  <c r="N268" i="3" s="1"/>
  <c r="Z269" i="3" l="1"/>
  <c r="AC269" i="3"/>
  <c r="AD269" i="3"/>
  <c r="AA269" i="3"/>
  <c r="P269" i="3"/>
  <c r="Q269" i="3" s="1"/>
  <c r="R269" i="3" s="1"/>
  <c r="S269" i="3" s="1"/>
  <c r="L268" i="3"/>
  <c r="W268" i="3"/>
  <c r="T269" i="3" l="1"/>
  <c r="AH269" i="3" s="1"/>
  <c r="U268" i="3"/>
  <c r="Y267" i="3"/>
  <c r="D269" i="3" l="1"/>
  <c r="G269" i="3" s="1"/>
  <c r="AG269" i="3"/>
  <c r="E269" i="3"/>
  <c r="H269" i="3" s="1"/>
  <c r="K269" i="3" s="1"/>
  <c r="AE269" i="3" s="1"/>
  <c r="F269" i="3" l="1"/>
  <c r="V269" i="3"/>
  <c r="A270" i="3"/>
  <c r="B270" i="3" s="1"/>
  <c r="I269" i="3"/>
  <c r="J269" i="3"/>
  <c r="M269" i="3"/>
  <c r="N269" i="3" s="1"/>
  <c r="L269" i="3" l="1"/>
  <c r="P270" i="3"/>
  <c r="Q270" i="3" s="1"/>
  <c r="R270" i="3" s="1"/>
  <c r="S270" i="3" s="1"/>
  <c r="Z270" i="3"/>
  <c r="AC270" i="3"/>
  <c r="AD270" i="3"/>
  <c r="AA270" i="3"/>
  <c r="W269" i="3"/>
  <c r="T270" i="3" l="1"/>
  <c r="AG270" i="3" s="1"/>
  <c r="U269" i="3"/>
  <c r="Y268" i="3"/>
  <c r="AH270" i="3" l="1"/>
  <c r="E270" i="3"/>
  <c r="H270" i="3" s="1"/>
  <c r="K270" i="3" s="1"/>
  <c r="AE270" i="3" s="1"/>
  <c r="D270" i="3"/>
  <c r="F270" i="3" l="1"/>
  <c r="G270" i="3"/>
  <c r="I270" i="3" s="1"/>
  <c r="V270" i="3"/>
  <c r="A271" i="3"/>
  <c r="B271" i="3" s="1"/>
  <c r="W270" i="3" l="1"/>
  <c r="M270" i="3"/>
  <c r="N270" i="3" s="1"/>
  <c r="J270" i="3"/>
  <c r="L270" i="3" s="1"/>
  <c r="AC271" i="3"/>
  <c r="AD271" i="3"/>
  <c r="Z271" i="3"/>
  <c r="AA271" i="3"/>
  <c r="P271" i="3"/>
  <c r="Q271" i="3" s="1"/>
  <c r="R271" i="3" s="1"/>
  <c r="S271" i="3" s="1"/>
  <c r="T271" i="3" l="1"/>
  <c r="AG271" i="3" s="1"/>
  <c r="U270" i="3"/>
  <c r="Y269" i="3"/>
  <c r="AH271" i="3" l="1"/>
  <c r="E271" i="3"/>
  <c r="H271" i="3" s="1"/>
  <c r="K271" i="3" s="1"/>
  <c r="AE271" i="3" s="1"/>
  <c r="D271" i="3"/>
  <c r="F271" i="3" l="1"/>
  <c r="G271" i="3"/>
  <c r="I271" i="3" s="1"/>
  <c r="V271" i="3"/>
  <c r="A272" i="3"/>
  <c r="B272" i="3" s="1"/>
  <c r="M271" i="3" l="1"/>
  <c r="N271" i="3" s="1"/>
  <c r="J271" i="3"/>
  <c r="L271" i="3" s="1"/>
  <c r="W271" i="3"/>
  <c r="AC272" i="3"/>
  <c r="AD272" i="3"/>
  <c r="P272" i="3"/>
  <c r="Q272" i="3" s="1"/>
  <c r="R272" i="3" s="1"/>
  <c r="S272" i="3" s="1"/>
  <c r="AA272" i="3"/>
  <c r="Z272" i="3"/>
  <c r="T272" i="3" l="1"/>
  <c r="AH272" i="3" s="1"/>
  <c r="U271" i="3"/>
  <c r="Y270" i="3"/>
  <c r="D272" i="3" l="1"/>
  <c r="G272" i="3" s="1"/>
  <c r="AG272" i="3"/>
  <c r="E272" i="3"/>
  <c r="H272" i="3" s="1"/>
  <c r="K272" i="3" s="1"/>
  <c r="AE272" i="3" s="1"/>
  <c r="F272" i="3" l="1"/>
  <c r="I272" i="3"/>
  <c r="J272" i="3"/>
  <c r="M272" i="3"/>
  <c r="N272" i="3" s="1"/>
  <c r="V272" i="3"/>
  <c r="A273" i="3"/>
  <c r="B273" i="3" s="1"/>
  <c r="W272" i="3" l="1"/>
  <c r="Z273" i="3"/>
  <c r="AC273" i="3"/>
  <c r="AD273" i="3"/>
  <c r="AA273" i="3"/>
  <c r="P273" i="3"/>
  <c r="Q273" i="3" s="1"/>
  <c r="R273" i="3" s="1"/>
  <c r="S273" i="3" s="1"/>
  <c r="L272" i="3"/>
  <c r="T273" i="3" l="1"/>
  <c r="AG273" i="3" s="1"/>
  <c r="U272" i="3"/>
  <c r="Y271" i="3"/>
  <c r="D273" i="3" l="1"/>
  <c r="G273" i="3" s="1"/>
  <c r="AH273" i="3"/>
  <c r="E273" i="3"/>
  <c r="H273" i="3" s="1"/>
  <c r="K273" i="3" s="1"/>
  <c r="AE273" i="3" s="1"/>
  <c r="F273" i="3" l="1"/>
  <c r="V273" i="3"/>
  <c r="A274" i="3"/>
  <c r="B274" i="3" s="1"/>
  <c r="I273" i="3"/>
  <c r="J273" i="3"/>
  <c r="M273" i="3"/>
  <c r="N273" i="3" s="1"/>
  <c r="L273" i="3" l="1"/>
  <c r="AA274" i="3"/>
  <c r="P274" i="3"/>
  <c r="Q274" i="3" s="1"/>
  <c r="R274" i="3" s="1"/>
  <c r="S274" i="3" s="1"/>
  <c r="AD274" i="3"/>
  <c r="Z274" i="3"/>
  <c r="AC274" i="3"/>
  <c r="W273" i="3"/>
  <c r="T274" i="3" l="1"/>
  <c r="AG274" i="3" s="1"/>
  <c r="U273" i="3"/>
  <c r="Y272" i="3"/>
  <c r="E274" i="3" l="1"/>
  <c r="H274" i="3" s="1"/>
  <c r="K274" i="3" s="1"/>
  <c r="AE274" i="3" s="1"/>
  <c r="D274" i="3"/>
  <c r="G274" i="3" s="1"/>
  <c r="AH274" i="3"/>
  <c r="F274" i="3" l="1"/>
  <c r="I274" i="3"/>
  <c r="J274" i="3"/>
  <c r="M274" i="3"/>
  <c r="N274" i="3" s="1"/>
  <c r="V274" i="3"/>
  <c r="A275" i="3"/>
  <c r="B275" i="3" s="1"/>
  <c r="W274" i="3" l="1"/>
  <c r="AA275" i="3"/>
  <c r="P275" i="3"/>
  <c r="Q275" i="3" s="1"/>
  <c r="R275" i="3" s="1"/>
  <c r="S275" i="3" s="1"/>
  <c r="AC275" i="3"/>
  <c r="Z275" i="3"/>
  <c r="AD275" i="3"/>
  <c r="L274" i="3"/>
  <c r="U274" i="3" l="1"/>
  <c r="Y273" i="3"/>
  <c r="T275" i="3"/>
  <c r="AH275" i="3" s="1"/>
  <c r="E275" i="3" l="1"/>
  <c r="H275" i="3" s="1"/>
  <c r="AG275" i="3"/>
  <c r="D275" i="3"/>
  <c r="F275" i="3" l="1"/>
  <c r="G275" i="3"/>
  <c r="K275" i="3"/>
  <c r="AE275" i="3" s="1"/>
  <c r="V275" i="3" l="1"/>
  <c r="A276" i="3"/>
  <c r="B276" i="3" s="1"/>
  <c r="I275" i="3"/>
  <c r="J275" i="3"/>
  <c r="M275" i="3"/>
  <c r="N275" i="3" s="1"/>
  <c r="L275" i="3" l="1"/>
  <c r="P276" i="3"/>
  <c r="Q276" i="3" s="1"/>
  <c r="R276" i="3" s="1"/>
  <c r="S276" i="3" s="1"/>
  <c r="AA276" i="3"/>
  <c r="Z276" i="3"/>
  <c r="AD276" i="3"/>
  <c r="AC276" i="3"/>
  <c r="W275" i="3"/>
  <c r="T276" i="3" l="1"/>
  <c r="AG276" i="3" s="1"/>
  <c r="U275" i="3"/>
  <c r="Y274" i="3"/>
  <c r="E276" i="3" l="1"/>
  <c r="H276" i="3" s="1"/>
  <c r="K276" i="3" s="1"/>
  <c r="AE276" i="3" s="1"/>
  <c r="AH276" i="3"/>
  <c r="D276" i="3"/>
  <c r="F276" i="3" l="1"/>
  <c r="G276" i="3"/>
  <c r="I276" i="3" s="1"/>
  <c r="V276" i="3"/>
  <c r="A277" i="3"/>
  <c r="B277" i="3" s="1"/>
  <c r="J276" i="3" l="1"/>
  <c r="L276" i="3" s="1"/>
  <c r="W276" i="3"/>
  <c r="M276" i="3"/>
  <c r="N276" i="3" s="1"/>
  <c r="AA277" i="3"/>
  <c r="P277" i="3"/>
  <c r="Q277" i="3" s="1"/>
  <c r="R277" i="3" s="1"/>
  <c r="S277" i="3" s="1"/>
  <c r="Z277" i="3"/>
  <c r="AC277" i="3"/>
  <c r="AD277" i="3"/>
  <c r="T277" i="3" l="1"/>
  <c r="AH277" i="3" s="1"/>
  <c r="U276" i="3"/>
  <c r="Y275" i="3"/>
  <c r="AG277" i="3" l="1"/>
  <c r="D277" i="3"/>
  <c r="G277" i="3" s="1"/>
  <c r="E277" i="3"/>
  <c r="H277" i="3" s="1"/>
  <c r="K277" i="3" s="1"/>
  <c r="AE277" i="3" s="1"/>
  <c r="F277" i="3" l="1"/>
  <c r="V277" i="3"/>
  <c r="A278" i="3"/>
  <c r="B278" i="3" s="1"/>
  <c r="I277" i="3"/>
  <c r="J277" i="3"/>
  <c r="M277" i="3"/>
  <c r="N277" i="3" s="1"/>
  <c r="AA278" i="3" l="1"/>
  <c r="AD278" i="3"/>
  <c r="P278" i="3"/>
  <c r="Q278" i="3" s="1"/>
  <c r="R278" i="3" s="1"/>
  <c r="S278" i="3" s="1"/>
  <c r="AC278" i="3"/>
  <c r="Z278" i="3"/>
  <c r="L277" i="3"/>
  <c r="W277" i="3"/>
  <c r="U277" i="3" l="1"/>
  <c r="Y276" i="3"/>
  <c r="T278" i="3"/>
  <c r="AH278" i="3" s="1"/>
  <c r="E278" i="3" l="1"/>
  <c r="H278" i="3" s="1"/>
  <c r="K278" i="3" s="1"/>
  <c r="AE278" i="3" s="1"/>
  <c r="D278" i="3"/>
  <c r="AG278" i="3"/>
  <c r="F278" i="3" l="1"/>
  <c r="G278" i="3"/>
  <c r="I278" i="3" s="1"/>
  <c r="V278" i="3"/>
  <c r="A279" i="3"/>
  <c r="B279" i="3" s="1"/>
  <c r="M278" i="3" l="1"/>
  <c r="N278" i="3" s="1"/>
  <c r="J278" i="3"/>
  <c r="L278" i="3" s="1"/>
  <c r="W278" i="3"/>
  <c r="AA279" i="3"/>
  <c r="AC279" i="3"/>
  <c r="Z279" i="3"/>
  <c r="AD279" i="3"/>
  <c r="P279" i="3"/>
  <c r="Q279" i="3" s="1"/>
  <c r="R279" i="3" s="1"/>
  <c r="S279" i="3" s="1"/>
  <c r="T279" i="3" l="1"/>
  <c r="AG279" i="3" s="1"/>
  <c r="U278" i="3"/>
  <c r="Y277" i="3"/>
  <c r="D279" i="3" l="1"/>
  <c r="G279" i="3" s="1"/>
  <c r="AH279" i="3"/>
  <c r="E279" i="3"/>
  <c r="H279" i="3" s="1"/>
  <c r="K279" i="3" s="1"/>
  <c r="AE279" i="3" s="1"/>
  <c r="F279" i="3" l="1"/>
  <c r="V279" i="3"/>
  <c r="A280" i="3"/>
  <c r="B280" i="3" s="1"/>
  <c r="I279" i="3"/>
  <c r="J279" i="3"/>
  <c r="M279" i="3"/>
  <c r="N279" i="3" s="1"/>
  <c r="P280" i="3" l="1"/>
  <c r="Q280" i="3" s="1"/>
  <c r="R280" i="3" s="1"/>
  <c r="S280" i="3" s="1"/>
  <c r="AD280" i="3"/>
  <c r="AC280" i="3"/>
  <c r="AA280" i="3"/>
  <c r="Z280" i="3"/>
  <c r="L279" i="3"/>
  <c r="W279" i="3"/>
  <c r="U279" i="3" l="1"/>
  <c r="Y278" i="3"/>
  <c r="T280" i="3"/>
  <c r="D280" i="3" l="1"/>
  <c r="G280" i="3" s="1"/>
  <c r="E280" i="3"/>
  <c r="H280" i="3" s="1"/>
  <c r="K280" i="3" s="1"/>
  <c r="AE280" i="3" s="1"/>
  <c r="AG280" i="3"/>
  <c r="AH280" i="3"/>
  <c r="F280" i="3" l="1"/>
  <c r="V280" i="3"/>
  <c r="A281" i="3"/>
  <c r="B281" i="3" s="1"/>
  <c r="I280" i="3"/>
  <c r="J280" i="3"/>
  <c r="M280" i="3"/>
  <c r="N280" i="3" s="1"/>
  <c r="P281" i="3" l="1"/>
  <c r="Q281" i="3" s="1"/>
  <c r="R281" i="3" s="1"/>
  <c r="S281" i="3" s="1"/>
  <c r="AA281" i="3"/>
  <c r="Z281" i="3"/>
  <c r="AC281" i="3"/>
  <c r="AD281" i="3"/>
  <c r="L280" i="3"/>
  <c r="W280" i="3"/>
  <c r="U280" i="3" l="1"/>
  <c r="Y279" i="3"/>
  <c r="T281" i="3"/>
  <c r="AH281" i="3" s="1"/>
  <c r="E281" i="3" l="1"/>
  <c r="H281" i="3" s="1"/>
  <c r="K281" i="3" s="1"/>
  <c r="AE281" i="3" s="1"/>
  <c r="D281" i="3"/>
  <c r="G281" i="3" s="1"/>
  <c r="AG281" i="3"/>
  <c r="F281" i="3" l="1"/>
  <c r="I281" i="3"/>
  <c r="J281" i="3"/>
  <c r="M281" i="3"/>
  <c r="N281" i="3" s="1"/>
  <c r="V281" i="3"/>
  <c r="A282" i="3"/>
  <c r="B282" i="3" s="1"/>
  <c r="W281" i="3" l="1"/>
  <c r="AD282" i="3"/>
  <c r="AA282" i="3"/>
  <c r="Z282" i="3"/>
  <c r="P282" i="3"/>
  <c r="Q282" i="3" s="1"/>
  <c r="R282" i="3" s="1"/>
  <c r="S282" i="3" s="1"/>
  <c r="AC282" i="3"/>
  <c r="L281" i="3"/>
  <c r="T282" i="3" l="1"/>
  <c r="AH282" i="3" s="1"/>
  <c r="U281" i="3"/>
  <c r="Y280" i="3"/>
  <c r="D282" i="3" l="1"/>
  <c r="G282" i="3" s="1"/>
  <c r="AG282" i="3"/>
  <c r="E282" i="3"/>
  <c r="H282" i="3" s="1"/>
  <c r="K282" i="3" s="1"/>
  <c r="AE282" i="3" s="1"/>
  <c r="F282" i="3" l="1"/>
  <c r="V282" i="3"/>
  <c r="A283" i="3"/>
  <c r="B283" i="3" s="1"/>
  <c r="I282" i="3"/>
  <c r="J282" i="3"/>
  <c r="M282" i="3"/>
  <c r="N282" i="3" s="1"/>
  <c r="AC283" i="3" l="1"/>
  <c r="AA283" i="3"/>
  <c r="Z283" i="3"/>
  <c r="AD283" i="3"/>
  <c r="P283" i="3"/>
  <c r="Q283" i="3" s="1"/>
  <c r="R283" i="3" s="1"/>
  <c r="S283" i="3" s="1"/>
  <c r="L282" i="3"/>
  <c r="W282" i="3"/>
  <c r="T283" i="3" l="1"/>
  <c r="U282" i="3"/>
  <c r="Y281" i="3"/>
  <c r="E283" i="3" l="1"/>
  <c r="H283" i="3" s="1"/>
  <c r="K283" i="3" s="1"/>
  <c r="AE283" i="3" s="1"/>
  <c r="AG283" i="3"/>
  <c r="AH283" i="3"/>
  <c r="D283" i="3"/>
  <c r="G283" i="3" s="1"/>
  <c r="F283" i="3" l="1"/>
  <c r="I283" i="3"/>
  <c r="J283" i="3"/>
  <c r="M283" i="3"/>
  <c r="N283" i="3" s="1"/>
  <c r="V283" i="3"/>
  <c r="A284" i="3"/>
  <c r="B284" i="3" s="1"/>
  <c r="W283" i="3" l="1"/>
  <c r="L283" i="3"/>
  <c r="AC284" i="3"/>
  <c r="P284" i="3"/>
  <c r="Q284" i="3" s="1"/>
  <c r="R284" i="3" s="1"/>
  <c r="S284" i="3" s="1"/>
  <c r="AD284" i="3"/>
  <c r="Z284" i="3"/>
  <c r="AA284" i="3"/>
  <c r="T284" i="3" l="1"/>
  <c r="AG284" i="3" s="1"/>
  <c r="U283" i="3"/>
  <c r="Y282" i="3"/>
  <c r="AH284" i="3" l="1"/>
  <c r="E284" i="3"/>
  <c r="H284" i="3" s="1"/>
  <c r="K284" i="3" s="1"/>
  <c r="AE284" i="3" s="1"/>
  <c r="D284" i="3"/>
  <c r="F284" i="3" l="1"/>
  <c r="G284" i="3"/>
  <c r="V284" i="3"/>
  <c r="A285" i="3"/>
  <c r="B285" i="3" s="1"/>
  <c r="P285" i="3" l="1"/>
  <c r="Q285" i="3" s="1"/>
  <c r="R285" i="3" s="1"/>
  <c r="S285" i="3" s="1"/>
  <c r="AA285" i="3"/>
  <c r="AC285" i="3"/>
  <c r="AD285" i="3"/>
  <c r="Z285" i="3"/>
  <c r="I284" i="3"/>
  <c r="W284" i="3" s="1"/>
  <c r="J284" i="3"/>
  <c r="M284" i="3"/>
  <c r="N284" i="3" s="1"/>
  <c r="L284" i="3" l="1"/>
  <c r="T285" i="3"/>
  <c r="U284" i="3" l="1"/>
  <c r="E285" i="3" s="1"/>
  <c r="H285" i="3" s="1"/>
  <c r="AH285" i="3"/>
  <c r="AG285" i="3"/>
  <c r="Y283" i="3"/>
  <c r="D285" i="3" l="1"/>
  <c r="F285" i="3" s="1"/>
  <c r="K285" i="3"/>
  <c r="AE285" i="3" s="1"/>
  <c r="G285" i="3" l="1"/>
  <c r="I285" i="3" s="1"/>
  <c r="V285" i="3"/>
  <c r="A286" i="3"/>
  <c r="B286" i="3" s="1"/>
  <c r="M285" i="3" l="1"/>
  <c r="N285" i="3" s="1"/>
  <c r="J285" i="3"/>
  <c r="L285" i="3" s="1"/>
  <c r="W285" i="3"/>
  <c r="AD286" i="3"/>
  <c r="AC286" i="3"/>
  <c r="Z286" i="3"/>
  <c r="AA286" i="3"/>
  <c r="P286" i="3"/>
  <c r="Q286" i="3" s="1"/>
  <c r="R286" i="3" s="1"/>
  <c r="S286" i="3" s="1"/>
  <c r="T286" i="3" l="1"/>
  <c r="AH286" i="3" s="1"/>
  <c r="U285" i="3"/>
  <c r="Y284" i="3"/>
  <c r="D286" i="3" l="1"/>
  <c r="G286" i="3" s="1"/>
  <c r="AG286" i="3"/>
  <c r="E286" i="3"/>
  <c r="H286" i="3" s="1"/>
  <c r="K286" i="3" l="1"/>
  <c r="AE286" i="3" s="1"/>
  <c r="I286" i="3"/>
  <c r="J286" i="3"/>
  <c r="M286" i="3"/>
  <c r="N286" i="3" s="1"/>
  <c r="F286" i="3"/>
  <c r="L286" i="3" l="1"/>
  <c r="V286" i="3"/>
  <c r="W286" i="3" s="1"/>
  <c r="A287" i="3"/>
  <c r="B287" i="3" s="1"/>
  <c r="AD287" i="3" l="1"/>
  <c r="AA287" i="3"/>
  <c r="Z287" i="3"/>
  <c r="P287" i="3"/>
  <c r="Q287" i="3" s="1"/>
  <c r="R287" i="3" s="1"/>
  <c r="S287" i="3" s="1"/>
  <c r="AC287" i="3"/>
  <c r="U286" i="3"/>
  <c r="Y285" i="3"/>
  <c r="T287" i="3" l="1"/>
  <c r="D287" i="3" s="1"/>
  <c r="E287" i="3" l="1"/>
  <c r="H287" i="3" s="1"/>
  <c r="K287" i="3" s="1"/>
  <c r="AE287" i="3" s="1"/>
  <c r="AG287" i="3"/>
  <c r="AH287" i="3"/>
  <c r="G287" i="3"/>
  <c r="F287" i="3" l="1"/>
  <c r="I287" i="3"/>
  <c r="J287" i="3"/>
  <c r="M287" i="3"/>
  <c r="N287" i="3" s="1"/>
  <c r="V287" i="3"/>
  <c r="A288" i="3"/>
  <c r="B288" i="3" s="1"/>
  <c r="W287" i="3" l="1"/>
  <c r="P288" i="3"/>
  <c r="Q288" i="3" s="1"/>
  <c r="R288" i="3" s="1"/>
  <c r="S288" i="3" s="1"/>
  <c r="Z288" i="3"/>
  <c r="AD288" i="3"/>
  <c r="AA288" i="3"/>
  <c r="AC288" i="3"/>
  <c r="L287" i="3"/>
  <c r="U287" i="3" l="1"/>
  <c r="Y286" i="3"/>
  <c r="T288" i="3"/>
  <c r="AG288" i="3" s="1"/>
  <c r="D288" i="3" l="1"/>
  <c r="G288" i="3" s="1"/>
  <c r="AH288" i="3"/>
  <c r="E288" i="3"/>
  <c r="H288" i="3" s="1"/>
  <c r="K288" i="3" l="1"/>
  <c r="AE288" i="3" s="1"/>
  <c r="I288" i="3"/>
  <c r="J288" i="3"/>
  <c r="M288" i="3"/>
  <c r="N288" i="3" s="1"/>
  <c r="F288" i="3"/>
  <c r="L288" i="3" l="1"/>
  <c r="V288" i="3"/>
  <c r="W288" i="3" s="1"/>
  <c r="A289" i="3"/>
  <c r="B289" i="3" s="1"/>
  <c r="AD289" i="3" l="1"/>
  <c r="P289" i="3"/>
  <c r="Q289" i="3" s="1"/>
  <c r="R289" i="3" s="1"/>
  <c r="S289" i="3" s="1"/>
  <c r="Z289" i="3"/>
  <c r="AA289" i="3"/>
  <c r="AC289" i="3"/>
  <c r="U288" i="3"/>
  <c r="Y287" i="3"/>
  <c r="T289" i="3" l="1"/>
  <c r="E289" i="3" s="1"/>
  <c r="H289" i="3" s="1"/>
  <c r="D289" i="3" l="1"/>
  <c r="F289" i="3" s="1"/>
  <c r="K289" i="3"/>
  <c r="AE289" i="3" s="1"/>
  <c r="AH289" i="3"/>
  <c r="AG289" i="3"/>
  <c r="G289" i="3" l="1"/>
  <c r="I289" i="3" s="1"/>
  <c r="V289" i="3"/>
  <c r="A290" i="3"/>
  <c r="B290" i="3" s="1"/>
  <c r="M289" i="3" l="1"/>
  <c r="N289" i="3" s="1"/>
  <c r="J289" i="3"/>
  <c r="L289" i="3" s="1"/>
  <c r="W289" i="3"/>
  <c r="AA290" i="3"/>
  <c r="AC290" i="3"/>
  <c r="Z290" i="3"/>
  <c r="AD290" i="3"/>
  <c r="P290" i="3"/>
  <c r="Q290" i="3" s="1"/>
  <c r="R290" i="3" s="1"/>
  <c r="S290" i="3" s="1"/>
  <c r="T290" i="3" l="1"/>
  <c r="AH290" i="3" s="1"/>
  <c r="U289" i="3"/>
  <c r="Y288" i="3"/>
  <c r="D290" i="3" l="1"/>
  <c r="G290" i="3" s="1"/>
  <c r="AG290" i="3"/>
  <c r="E290" i="3"/>
  <c r="H290" i="3" s="1"/>
  <c r="K290" i="3" s="1"/>
  <c r="AE290" i="3" s="1"/>
  <c r="F290" i="3" l="1"/>
  <c r="V290" i="3"/>
  <c r="A291" i="3"/>
  <c r="B291" i="3" s="1"/>
  <c r="I290" i="3"/>
  <c r="J290" i="3"/>
  <c r="M290" i="3"/>
  <c r="N290" i="3" s="1"/>
  <c r="L290" i="3" l="1"/>
  <c r="P291" i="3"/>
  <c r="Q291" i="3" s="1"/>
  <c r="R291" i="3" s="1"/>
  <c r="S291" i="3" s="1"/>
  <c r="AD291" i="3"/>
  <c r="Z291" i="3"/>
  <c r="AC291" i="3"/>
  <c r="AA291" i="3"/>
  <c r="W290" i="3"/>
  <c r="T291" i="3" l="1"/>
  <c r="AH291" i="3" s="1"/>
  <c r="U290" i="3"/>
  <c r="Y289" i="3"/>
  <c r="AG291" i="3" l="1"/>
  <c r="D291" i="3"/>
  <c r="G291" i="3" s="1"/>
  <c r="E291" i="3"/>
  <c r="H291" i="3" s="1"/>
  <c r="K291" i="3" s="1"/>
  <c r="AE291" i="3" s="1"/>
  <c r="F291" i="3" l="1"/>
  <c r="V291" i="3"/>
  <c r="A292" i="3"/>
  <c r="B292" i="3" s="1"/>
  <c r="I291" i="3"/>
  <c r="J291" i="3"/>
  <c r="M291" i="3"/>
  <c r="N291" i="3" s="1"/>
  <c r="W291" i="3" l="1"/>
  <c r="Z292" i="3"/>
  <c r="AC292" i="3"/>
  <c r="AD292" i="3"/>
  <c r="AA292" i="3"/>
  <c r="P292" i="3"/>
  <c r="Q292" i="3" s="1"/>
  <c r="R292" i="3" s="1"/>
  <c r="S292" i="3" s="1"/>
  <c r="L291" i="3"/>
  <c r="T292" i="3" l="1"/>
  <c r="AH292" i="3" s="1"/>
  <c r="U291" i="3"/>
  <c r="Y290" i="3"/>
  <c r="D292" i="3" l="1"/>
  <c r="G292" i="3" s="1"/>
  <c r="AG292" i="3"/>
  <c r="E292" i="3"/>
  <c r="H292" i="3" s="1"/>
  <c r="K292" i="3" s="1"/>
  <c r="AE292" i="3" s="1"/>
  <c r="F292" i="3" l="1"/>
  <c r="I292" i="3"/>
  <c r="J292" i="3"/>
  <c r="M292" i="3"/>
  <c r="N292" i="3" s="1"/>
  <c r="V292" i="3"/>
  <c r="A293" i="3"/>
  <c r="B293" i="3" s="1"/>
  <c r="W292" i="3" l="1"/>
  <c r="AD293" i="3"/>
  <c r="P293" i="3"/>
  <c r="Q293" i="3" s="1"/>
  <c r="R293" i="3" s="1"/>
  <c r="S293" i="3" s="1"/>
  <c r="AC293" i="3"/>
  <c r="AA293" i="3"/>
  <c r="Z293" i="3"/>
  <c r="L292" i="3"/>
  <c r="T293" i="3" l="1"/>
  <c r="AG293" i="3" s="1"/>
  <c r="U292" i="3"/>
  <c r="Y291" i="3"/>
  <c r="E293" i="3" l="1"/>
  <c r="H293" i="3" s="1"/>
  <c r="K293" i="3" s="1"/>
  <c r="AE293" i="3" s="1"/>
  <c r="AH293" i="3"/>
  <c r="D293" i="3"/>
  <c r="F293" i="3" l="1"/>
  <c r="G293" i="3"/>
  <c r="J293" i="3" s="1"/>
  <c r="V293" i="3"/>
  <c r="A294" i="3"/>
  <c r="B294" i="3" s="1"/>
  <c r="I293" i="3" l="1"/>
  <c r="W293" i="3" s="1"/>
  <c r="M293" i="3"/>
  <c r="N293" i="3" s="1"/>
  <c r="L293" i="3"/>
  <c r="P294" i="3"/>
  <c r="Q294" i="3" s="1"/>
  <c r="R294" i="3" s="1"/>
  <c r="S294" i="3" s="1"/>
  <c r="AA294" i="3"/>
  <c r="AC294" i="3"/>
  <c r="Z294" i="3"/>
  <c r="AD294" i="3"/>
  <c r="T294" i="3" l="1"/>
  <c r="AH294" i="3" s="1"/>
  <c r="U293" i="3"/>
  <c r="Y292" i="3"/>
  <c r="AG294" i="3" l="1"/>
  <c r="D294" i="3"/>
  <c r="G294" i="3" s="1"/>
  <c r="E294" i="3"/>
  <c r="H294" i="3" s="1"/>
  <c r="K294" i="3" s="1"/>
  <c r="AE294" i="3" s="1"/>
  <c r="F294" i="3" l="1"/>
  <c r="I294" i="3"/>
  <c r="J294" i="3"/>
  <c r="M294" i="3"/>
  <c r="N294" i="3" s="1"/>
  <c r="V294" i="3"/>
  <c r="A295" i="3"/>
  <c r="B295" i="3" s="1"/>
  <c r="W294" i="3" l="1"/>
  <c r="AC295" i="3"/>
  <c r="AA295" i="3"/>
  <c r="AD295" i="3"/>
  <c r="P295" i="3"/>
  <c r="Q295" i="3" s="1"/>
  <c r="R295" i="3" s="1"/>
  <c r="S295" i="3" s="1"/>
  <c r="Z295" i="3"/>
  <c r="L294" i="3"/>
  <c r="T295" i="3" l="1"/>
  <c r="AG295" i="3" s="1"/>
  <c r="U294" i="3"/>
  <c r="Y293" i="3"/>
  <c r="E295" i="3" l="1"/>
  <c r="H295" i="3" s="1"/>
  <c r="K295" i="3" s="1"/>
  <c r="AE295" i="3" s="1"/>
  <c r="AH295" i="3"/>
  <c r="D295" i="3"/>
  <c r="F295" i="3" l="1"/>
  <c r="G295" i="3"/>
  <c r="V295" i="3"/>
  <c r="A296" i="3"/>
  <c r="B296" i="3" s="1"/>
  <c r="AC296" i="3" l="1"/>
  <c r="Z296" i="3"/>
  <c r="AD296" i="3"/>
  <c r="AA296" i="3"/>
  <c r="P296" i="3"/>
  <c r="Q296" i="3" s="1"/>
  <c r="R296" i="3" s="1"/>
  <c r="S296" i="3" s="1"/>
  <c r="I295" i="3"/>
  <c r="W295" i="3" s="1"/>
  <c r="J295" i="3"/>
  <c r="M295" i="3"/>
  <c r="N295" i="3" s="1"/>
  <c r="L295" i="3" l="1"/>
  <c r="T296" i="3"/>
  <c r="U295" i="3" l="1"/>
  <c r="D296" i="3" s="1"/>
  <c r="AG296" i="3"/>
  <c r="AH296" i="3"/>
  <c r="Y294" i="3"/>
  <c r="E296" i="3" l="1"/>
  <c r="H296" i="3" s="1"/>
  <c r="K296" i="3" s="1"/>
  <c r="AE296" i="3" s="1"/>
  <c r="G296" i="3"/>
  <c r="F296" i="3" l="1"/>
  <c r="V296" i="3"/>
  <c r="A297" i="3"/>
  <c r="B297" i="3" s="1"/>
  <c r="I296" i="3"/>
  <c r="J296" i="3"/>
  <c r="M296" i="3"/>
  <c r="N296" i="3" s="1"/>
  <c r="L296" i="3" l="1"/>
  <c r="P297" i="3"/>
  <c r="Q297" i="3" s="1"/>
  <c r="R297" i="3" s="1"/>
  <c r="S297" i="3" s="1"/>
  <c r="AC297" i="3"/>
  <c r="AD297" i="3"/>
  <c r="AA297" i="3"/>
  <c r="Z297" i="3"/>
  <c r="W296" i="3"/>
  <c r="T297" i="3" l="1"/>
  <c r="AG297" i="3" s="1"/>
  <c r="U296" i="3"/>
  <c r="Y295" i="3"/>
  <c r="AH297" i="3" l="1"/>
  <c r="D297" i="3"/>
  <c r="G297" i="3" s="1"/>
  <c r="E297" i="3"/>
  <c r="H297" i="3" s="1"/>
  <c r="K297" i="3" s="1"/>
  <c r="AE297" i="3" s="1"/>
  <c r="F297" i="3" l="1"/>
  <c r="V297" i="3"/>
  <c r="A298" i="3"/>
  <c r="B298" i="3" s="1"/>
  <c r="I297" i="3"/>
  <c r="J297" i="3"/>
  <c r="M297" i="3"/>
  <c r="N297" i="3" s="1"/>
  <c r="L297" i="3" l="1"/>
  <c r="P298" i="3"/>
  <c r="Q298" i="3" s="1"/>
  <c r="R298" i="3" s="1"/>
  <c r="S298" i="3" s="1"/>
  <c r="AD298" i="3"/>
  <c r="AA298" i="3"/>
  <c r="AC298" i="3"/>
  <c r="Z298" i="3"/>
  <c r="W297" i="3"/>
  <c r="T298" i="3" l="1"/>
  <c r="AH298" i="3" s="1"/>
  <c r="U297" i="3"/>
  <c r="Y296" i="3"/>
  <c r="AG298" i="3" l="1"/>
  <c r="D298" i="3"/>
  <c r="G298" i="3" s="1"/>
  <c r="E298" i="3"/>
  <c r="H298" i="3" s="1"/>
  <c r="I298" i="3" l="1"/>
  <c r="J298" i="3"/>
  <c r="M298" i="3"/>
  <c r="N298" i="3" s="1"/>
  <c r="K298" i="3"/>
  <c r="AE298" i="3" s="1"/>
  <c r="F298" i="3"/>
  <c r="V298" i="3" l="1"/>
  <c r="W298" i="3" s="1"/>
  <c r="A299" i="3"/>
  <c r="B299" i="3" s="1"/>
  <c r="L298" i="3"/>
  <c r="U298" i="3" l="1"/>
  <c r="Y297" i="3"/>
  <c r="AC299" i="3"/>
  <c r="Z299" i="3"/>
  <c r="AD299" i="3"/>
  <c r="AA299" i="3"/>
  <c r="P299" i="3"/>
  <c r="Q299" i="3" s="1"/>
  <c r="R299" i="3" s="1"/>
  <c r="S299" i="3" s="1"/>
  <c r="T299" i="3" l="1"/>
  <c r="E299" i="3" s="1"/>
  <c r="H299" i="3" s="1"/>
  <c r="D299" i="3" l="1"/>
  <c r="F299" i="3" s="1"/>
  <c r="AH299" i="3"/>
  <c r="AG299" i="3"/>
  <c r="K299" i="3"/>
  <c r="AE299" i="3" s="1"/>
  <c r="G299" i="3" l="1"/>
  <c r="I299" i="3" s="1"/>
  <c r="V299" i="3"/>
  <c r="A300" i="3"/>
  <c r="B300" i="3" s="1"/>
  <c r="J299" i="3" l="1"/>
  <c r="L299" i="3" s="1"/>
  <c r="M299" i="3"/>
  <c r="N299" i="3" s="1"/>
  <c r="P300" i="3"/>
  <c r="Q300" i="3" s="1"/>
  <c r="R300" i="3" s="1"/>
  <c r="S300" i="3" s="1"/>
  <c r="AC300" i="3"/>
  <c r="Z300" i="3"/>
  <c r="AD300" i="3"/>
  <c r="AA300" i="3"/>
  <c r="W299" i="3"/>
  <c r="T300" i="3" l="1"/>
  <c r="U299" i="3"/>
  <c r="Y298" i="3"/>
  <c r="E300" i="3" l="1"/>
  <c r="H300" i="3" s="1"/>
  <c r="K300" i="3" s="1"/>
  <c r="AE300" i="3" s="1"/>
  <c r="AH300" i="3"/>
  <c r="AG300" i="3"/>
  <c r="D300" i="3"/>
  <c r="F300" i="3" l="1"/>
  <c r="G300" i="3"/>
  <c r="V300" i="3"/>
  <c r="A301" i="3"/>
  <c r="B301" i="3" s="1"/>
  <c r="Z301" i="3" l="1"/>
  <c r="AD301" i="3"/>
  <c r="AA301" i="3"/>
  <c r="AC301" i="3"/>
  <c r="P301" i="3"/>
  <c r="Q301" i="3" s="1"/>
  <c r="R301" i="3" s="1"/>
  <c r="S301" i="3" s="1"/>
  <c r="I300" i="3"/>
  <c r="W300" i="3" s="1"/>
  <c r="J300" i="3"/>
  <c r="M300" i="3"/>
  <c r="N300" i="3" s="1"/>
  <c r="L300" i="3" l="1"/>
  <c r="T301" i="3"/>
  <c r="U300" i="3" l="1"/>
  <c r="D301" i="3" s="1"/>
  <c r="AG301" i="3"/>
  <c r="AH301" i="3"/>
  <c r="Y299" i="3"/>
  <c r="E301" i="3" l="1"/>
  <c r="H301" i="3" s="1"/>
  <c r="K301" i="3" s="1"/>
  <c r="AE301" i="3" s="1"/>
  <c r="G301" i="3"/>
  <c r="F301" i="3" l="1"/>
  <c r="V301" i="3"/>
  <c r="A302" i="3"/>
  <c r="B302" i="3" s="1"/>
  <c r="I301" i="3"/>
  <c r="J301" i="3"/>
  <c r="M301" i="3"/>
  <c r="N301" i="3" s="1"/>
  <c r="Z302" i="3" l="1"/>
  <c r="P302" i="3"/>
  <c r="Q302" i="3" s="1"/>
  <c r="R302" i="3" s="1"/>
  <c r="S302" i="3" s="1"/>
  <c r="AD302" i="3"/>
  <c r="AA302" i="3"/>
  <c r="AC302" i="3"/>
  <c r="L301" i="3"/>
  <c r="W301" i="3"/>
  <c r="T302" i="3" l="1"/>
  <c r="U301" i="3"/>
  <c r="Y300" i="3"/>
  <c r="D302" i="3" l="1"/>
  <c r="AG302" i="3"/>
  <c r="E302" i="3"/>
  <c r="H302" i="3" s="1"/>
  <c r="K302" i="3" s="1"/>
  <c r="AE302" i="3" s="1"/>
  <c r="AH302" i="3"/>
  <c r="F302" i="3" l="1"/>
  <c r="G302" i="3"/>
  <c r="I302" i="3" s="1"/>
  <c r="V302" i="3"/>
  <c r="A303" i="3"/>
  <c r="B303" i="3" s="1"/>
  <c r="M302" i="3" l="1"/>
  <c r="N302" i="3" s="1"/>
  <c r="J302" i="3"/>
  <c r="L302" i="3" s="1"/>
  <c r="P303" i="3"/>
  <c r="Q303" i="3" s="1"/>
  <c r="R303" i="3" s="1"/>
  <c r="S303" i="3" s="1"/>
  <c r="AD303" i="3"/>
  <c r="Z303" i="3"/>
  <c r="AA303" i="3"/>
  <c r="AC303" i="3"/>
  <c r="W302" i="3"/>
  <c r="U302" i="3" l="1"/>
  <c r="Y301" i="3"/>
  <c r="T303" i="3"/>
  <c r="D303" i="3" l="1"/>
  <c r="G303" i="3" s="1"/>
  <c r="AG303" i="3"/>
  <c r="AH303" i="3"/>
  <c r="E303" i="3"/>
  <c r="H303" i="3" s="1"/>
  <c r="K303" i="3" l="1"/>
  <c r="AE303" i="3" s="1"/>
  <c r="I303" i="3"/>
  <c r="J303" i="3"/>
  <c r="M303" i="3"/>
  <c r="N303" i="3" s="1"/>
  <c r="F303" i="3"/>
  <c r="L303" i="3" l="1"/>
  <c r="V303" i="3"/>
  <c r="W303" i="3" s="1"/>
  <c r="A304" i="3"/>
  <c r="B304" i="3" s="1"/>
  <c r="AA304" i="3" l="1"/>
  <c r="Z304" i="3"/>
  <c r="AC304" i="3"/>
  <c r="P304" i="3"/>
  <c r="Q304" i="3" s="1"/>
  <c r="R304" i="3" s="1"/>
  <c r="S304" i="3" s="1"/>
  <c r="U303" i="3"/>
  <c r="Y302" i="3"/>
  <c r="T304" i="3" l="1"/>
  <c r="AH304" i="3" s="1"/>
  <c r="D304" i="3" l="1"/>
  <c r="G304" i="3" s="1"/>
  <c r="AG304" i="3"/>
  <c r="E304" i="3"/>
  <c r="H304" i="3" s="1"/>
  <c r="K304" i="3" s="1"/>
  <c r="AE304" i="3" s="1"/>
  <c r="F304" i="3" l="1"/>
  <c r="I304" i="3"/>
  <c r="J304" i="3"/>
  <c r="AD304" i="3" s="1"/>
  <c r="M304" i="3"/>
  <c r="N304" i="3" s="1"/>
  <c r="V304" i="3"/>
  <c r="A305" i="3"/>
  <c r="B305" i="3" s="1"/>
  <c r="W304" i="3" l="1"/>
  <c r="AA305" i="3"/>
  <c r="P305" i="3"/>
  <c r="Q305" i="3" s="1"/>
  <c r="R305" i="3" s="1"/>
  <c r="S305" i="3" s="1"/>
  <c r="Z305" i="3"/>
  <c r="AD305" i="3"/>
  <c r="AC305" i="3"/>
  <c r="L304" i="3"/>
  <c r="T305" i="3" l="1"/>
  <c r="AG305" i="3" s="1"/>
  <c r="U304" i="3"/>
  <c r="Y303" i="3"/>
  <c r="D305" i="3" l="1"/>
  <c r="G305" i="3" s="1"/>
  <c r="AH305" i="3"/>
  <c r="E305" i="3"/>
  <c r="H305" i="3" s="1"/>
  <c r="K305" i="3" l="1"/>
  <c r="AE305" i="3" s="1"/>
  <c r="I305" i="3"/>
  <c r="J305" i="3"/>
  <c r="M305" i="3"/>
  <c r="N305" i="3" s="1"/>
  <c r="F305" i="3"/>
  <c r="L305" i="3" l="1"/>
  <c r="V305" i="3"/>
  <c r="W305" i="3" s="1"/>
  <c r="A306" i="3"/>
  <c r="B306" i="3" s="1"/>
  <c r="P306" i="3" l="1"/>
  <c r="Q306" i="3" s="1"/>
  <c r="R306" i="3" s="1"/>
  <c r="S306" i="3" s="1"/>
  <c r="AD306" i="3"/>
  <c r="AA306" i="3"/>
  <c r="Z306" i="3"/>
  <c r="AC306" i="3"/>
  <c r="U305" i="3"/>
  <c r="Y304" i="3"/>
  <c r="T306" i="3" l="1"/>
  <c r="E306" i="3" s="1"/>
  <c r="H306" i="3" s="1"/>
  <c r="AG306" i="3" l="1"/>
  <c r="D306" i="3"/>
  <c r="F306" i="3" s="1"/>
  <c r="AH306" i="3"/>
  <c r="K306" i="3"/>
  <c r="AE306" i="3" s="1"/>
  <c r="G306" i="3" l="1"/>
  <c r="I306" i="3" s="1"/>
  <c r="V306" i="3"/>
  <c r="A307" i="3"/>
  <c r="B307" i="3" s="1"/>
  <c r="M306" i="3" l="1"/>
  <c r="N306" i="3" s="1"/>
  <c r="J306" i="3"/>
  <c r="L306" i="3" s="1"/>
  <c r="AC307" i="3"/>
  <c r="P307" i="3"/>
  <c r="Q307" i="3" s="1"/>
  <c r="R307" i="3" s="1"/>
  <c r="S307" i="3" s="1"/>
  <c r="AD307" i="3"/>
  <c r="AA307" i="3"/>
  <c r="Z307" i="3"/>
  <c r="W306" i="3"/>
  <c r="T307" i="3" l="1"/>
  <c r="AG307" i="3" s="1"/>
  <c r="U306" i="3"/>
  <c r="Y305" i="3"/>
  <c r="D307" i="3" l="1"/>
  <c r="G307" i="3" s="1"/>
  <c r="AH307" i="3"/>
  <c r="E307" i="3"/>
  <c r="H307" i="3" s="1"/>
  <c r="K307" i="3" s="1"/>
  <c r="AE307" i="3" s="1"/>
  <c r="F307" i="3" l="1"/>
  <c r="V307" i="3"/>
  <c r="A308" i="3"/>
  <c r="B308" i="3" s="1"/>
  <c r="I307" i="3"/>
  <c r="J307" i="3"/>
  <c r="M307" i="3"/>
  <c r="N307" i="3" s="1"/>
  <c r="L307" i="3" l="1"/>
  <c r="Z308" i="3"/>
  <c r="AD308" i="3"/>
  <c r="AA308" i="3"/>
  <c r="AC308" i="3"/>
  <c r="P308" i="3"/>
  <c r="Q308" i="3" s="1"/>
  <c r="R308" i="3" s="1"/>
  <c r="S308" i="3" s="1"/>
  <c r="W307" i="3"/>
  <c r="T308" i="3" l="1"/>
  <c r="AH308" i="3" s="1"/>
  <c r="U307" i="3"/>
  <c r="Y306" i="3"/>
  <c r="AG308" i="3" l="1"/>
  <c r="E308" i="3"/>
  <c r="H308" i="3" s="1"/>
  <c r="K308" i="3" s="1"/>
  <c r="AE308" i="3" s="1"/>
  <c r="D308" i="3"/>
  <c r="G308" i="3" s="1"/>
  <c r="F308" i="3" l="1"/>
  <c r="I308" i="3"/>
  <c r="J308" i="3"/>
  <c r="M308" i="3"/>
  <c r="N308" i="3" s="1"/>
  <c r="V308" i="3"/>
  <c r="A309" i="3"/>
  <c r="B309" i="3" s="1"/>
  <c r="W308" i="3" l="1"/>
  <c r="P309" i="3"/>
  <c r="Q309" i="3" s="1"/>
  <c r="R309" i="3" s="1"/>
  <c r="S309" i="3" s="1"/>
  <c r="Z309" i="3"/>
  <c r="AC309" i="3"/>
  <c r="AD309" i="3"/>
  <c r="AA309" i="3"/>
  <c r="L308" i="3"/>
  <c r="T309" i="3" l="1"/>
  <c r="AG309" i="3" s="1"/>
  <c r="U308" i="3"/>
  <c r="Y307" i="3"/>
  <c r="E309" i="3" l="1"/>
  <c r="H309" i="3" s="1"/>
  <c r="K309" i="3" s="1"/>
  <c r="AE309" i="3" s="1"/>
  <c r="AH309" i="3"/>
  <c r="D309" i="3"/>
  <c r="V309" i="3" l="1"/>
  <c r="A310" i="3"/>
  <c r="B310" i="3" s="1"/>
  <c r="F309" i="3"/>
  <c r="G309" i="3"/>
  <c r="I309" i="3" l="1"/>
  <c r="W309" i="3" s="1"/>
  <c r="J309" i="3"/>
  <c r="M309" i="3"/>
  <c r="N309" i="3" s="1"/>
  <c r="P310" i="3"/>
  <c r="Q310" i="3" s="1"/>
  <c r="R310" i="3" s="1"/>
  <c r="S310" i="3" s="1"/>
  <c r="AA310" i="3"/>
  <c r="Z310" i="3"/>
  <c r="AC310" i="3"/>
  <c r="AD310" i="3"/>
  <c r="L309" i="3" l="1"/>
  <c r="T310" i="3"/>
  <c r="AH310" i="3" l="1"/>
  <c r="U309" i="3"/>
  <c r="D310" i="3" s="1"/>
  <c r="AG310" i="3"/>
  <c r="Y308" i="3"/>
  <c r="E310" i="3" l="1"/>
  <c r="H310" i="3" s="1"/>
  <c r="K310" i="3" s="1"/>
  <c r="AE310" i="3" s="1"/>
  <c r="G310" i="3"/>
  <c r="F310" i="3" l="1"/>
  <c r="V310" i="3"/>
  <c r="A311" i="3"/>
  <c r="B311" i="3" s="1"/>
  <c r="I310" i="3"/>
  <c r="J310" i="3"/>
  <c r="M310" i="3"/>
  <c r="N310" i="3" s="1"/>
  <c r="L310" i="3" l="1"/>
  <c r="Z311" i="3"/>
  <c r="P311" i="3"/>
  <c r="Q311" i="3" s="1"/>
  <c r="R311" i="3" s="1"/>
  <c r="S311" i="3" s="1"/>
  <c r="AA311" i="3"/>
  <c r="AC311" i="3"/>
  <c r="AD311" i="3"/>
  <c r="W310" i="3"/>
  <c r="T311" i="3" l="1"/>
  <c r="AH311" i="3" s="1"/>
  <c r="U310" i="3"/>
  <c r="Y309" i="3"/>
  <c r="D311" i="3" l="1"/>
  <c r="G311" i="3" s="1"/>
  <c r="AG311" i="3"/>
  <c r="E311" i="3"/>
  <c r="H311" i="3" s="1"/>
  <c r="F311" i="3" l="1"/>
  <c r="I311" i="3"/>
  <c r="J311" i="3"/>
  <c r="M311" i="3"/>
  <c r="N311" i="3" s="1"/>
  <c r="K311" i="3"/>
  <c r="AE311" i="3" s="1"/>
  <c r="V311" i="3" l="1"/>
  <c r="W311" i="3" s="1"/>
  <c r="A312" i="3"/>
  <c r="B312" i="3" s="1"/>
  <c r="L311" i="3"/>
  <c r="U311" i="3" l="1"/>
  <c r="Y310" i="3"/>
  <c r="P312" i="3"/>
  <c r="Q312" i="3" s="1"/>
  <c r="R312" i="3" s="1"/>
  <c r="S312" i="3" s="1"/>
  <c r="AD312" i="3"/>
  <c r="AC312" i="3"/>
  <c r="AA312" i="3"/>
  <c r="Z312" i="3"/>
  <c r="T312" i="3" l="1"/>
  <c r="AG312" i="3" s="1"/>
  <c r="AH312" i="3" l="1"/>
  <c r="E312" i="3"/>
  <c r="H312" i="3" s="1"/>
  <c r="K312" i="3" s="1"/>
  <c r="AE312" i="3" s="1"/>
  <c r="D312" i="3"/>
  <c r="G312" i="3" s="1"/>
  <c r="F312" i="3" l="1"/>
  <c r="V312" i="3"/>
  <c r="A313" i="3"/>
  <c r="B313" i="3" s="1"/>
  <c r="I312" i="3"/>
  <c r="J312" i="3"/>
  <c r="M312" i="3"/>
  <c r="N312" i="3" s="1"/>
  <c r="L312" i="3" l="1"/>
  <c r="AD313" i="3"/>
  <c r="AA313" i="3"/>
  <c r="Z313" i="3"/>
  <c r="AC313" i="3"/>
  <c r="P313" i="3"/>
  <c r="Q313" i="3" s="1"/>
  <c r="R313" i="3" s="1"/>
  <c r="S313" i="3" s="1"/>
  <c r="W312" i="3"/>
  <c r="T313" i="3" l="1"/>
  <c r="AH313" i="3" s="1"/>
  <c r="U312" i="3"/>
  <c r="Y311" i="3"/>
  <c r="AG313" i="3" l="1"/>
  <c r="E313" i="3"/>
  <c r="H313" i="3" s="1"/>
  <c r="K313" i="3" s="1"/>
  <c r="AE313" i="3" s="1"/>
  <c r="D313" i="3"/>
  <c r="F313" i="3" l="1"/>
  <c r="G313" i="3"/>
  <c r="I313" i="3" s="1"/>
  <c r="V313" i="3"/>
  <c r="A314" i="3"/>
  <c r="B314" i="3" s="1"/>
  <c r="J313" i="3" l="1"/>
  <c r="L313" i="3" s="1"/>
  <c r="M313" i="3"/>
  <c r="N313" i="3" s="1"/>
  <c r="W313" i="3"/>
  <c r="AA314" i="3"/>
  <c r="P314" i="3"/>
  <c r="Q314" i="3" s="1"/>
  <c r="R314" i="3" s="1"/>
  <c r="S314" i="3" s="1"/>
  <c r="AC314" i="3"/>
  <c r="Z314" i="3"/>
  <c r="AD314" i="3"/>
  <c r="T314" i="3" l="1"/>
  <c r="AG314" i="3" s="1"/>
  <c r="U313" i="3"/>
  <c r="Y312" i="3"/>
  <c r="AH314" i="3" l="1"/>
  <c r="D314" i="3"/>
  <c r="G314" i="3" s="1"/>
  <c r="E314" i="3"/>
  <c r="H314" i="3" s="1"/>
  <c r="K314" i="3" s="1"/>
  <c r="AE314" i="3" s="1"/>
  <c r="F314" i="3" l="1"/>
  <c r="I314" i="3"/>
  <c r="J314" i="3"/>
  <c r="M314" i="3"/>
  <c r="N314" i="3" s="1"/>
  <c r="V314" i="3"/>
  <c r="A315" i="3"/>
  <c r="B315" i="3" s="1"/>
  <c r="W314" i="3" l="1"/>
  <c r="Z315" i="3"/>
  <c r="P315" i="3"/>
  <c r="Q315" i="3" s="1"/>
  <c r="R315" i="3" s="1"/>
  <c r="S315" i="3" s="1"/>
  <c r="AC315" i="3"/>
  <c r="AD315" i="3"/>
  <c r="AA315" i="3"/>
  <c r="L314" i="3"/>
  <c r="T315" i="3" l="1"/>
  <c r="AG315" i="3" s="1"/>
  <c r="U314" i="3"/>
  <c r="Y313" i="3"/>
  <c r="AH315" i="3" l="1"/>
  <c r="D315" i="3"/>
  <c r="G315" i="3" s="1"/>
  <c r="E315" i="3"/>
  <c r="H315" i="3" s="1"/>
  <c r="K315" i="3" s="1"/>
  <c r="AE315" i="3" s="1"/>
  <c r="F315" i="3" l="1"/>
  <c r="V315" i="3"/>
  <c r="A316" i="3"/>
  <c r="B316" i="3" s="1"/>
  <c r="I315" i="3"/>
  <c r="J315" i="3"/>
  <c r="M315" i="3"/>
  <c r="N315" i="3" s="1"/>
  <c r="L315" i="3" l="1"/>
  <c r="Z316" i="3"/>
  <c r="AC316" i="3"/>
  <c r="P316" i="3"/>
  <c r="Q316" i="3" s="1"/>
  <c r="R316" i="3" s="1"/>
  <c r="S316" i="3" s="1"/>
  <c r="AA316" i="3"/>
  <c r="AD316" i="3"/>
  <c r="W315" i="3"/>
  <c r="T316" i="3" l="1"/>
  <c r="AG316" i="3" s="1"/>
  <c r="U315" i="3"/>
  <c r="Y314" i="3"/>
  <c r="D316" i="3" l="1"/>
  <c r="G316" i="3" s="1"/>
  <c r="AH316" i="3"/>
  <c r="E316" i="3"/>
  <c r="H316" i="3" s="1"/>
  <c r="K316" i="3" s="1"/>
  <c r="AE316" i="3" s="1"/>
  <c r="F316" i="3" l="1"/>
  <c r="V316" i="3"/>
  <c r="A317" i="3"/>
  <c r="B317" i="3" s="1"/>
  <c r="I316" i="3"/>
  <c r="J316" i="3"/>
  <c r="M316" i="3"/>
  <c r="N316" i="3" s="1"/>
  <c r="AD317" i="3" l="1"/>
  <c r="AC317" i="3"/>
  <c r="AA317" i="3"/>
  <c r="P317" i="3"/>
  <c r="Q317" i="3" s="1"/>
  <c r="R317" i="3" s="1"/>
  <c r="S317" i="3" s="1"/>
  <c r="Z317" i="3"/>
  <c r="L316" i="3"/>
  <c r="W316" i="3"/>
  <c r="T317" i="3" l="1"/>
  <c r="AH317" i="3" s="1"/>
  <c r="U316" i="3"/>
  <c r="Y315" i="3"/>
  <c r="E317" i="3" l="1"/>
  <c r="H317" i="3" s="1"/>
  <c r="K317" i="3" s="1"/>
  <c r="AE317" i="3" s="1"/>
  <c r="AG317" i="3"/>
  <c r="D317" i="3"/>
  <c r="F317" i="3" l="1"/>
  <c r="G317" i="3"/>
  <c r="V317" i="3"/>
  <c r="A318" i="3"/>
  <c r="B318" i="3" s="1"/>
  <c r="AA318" i="3" l="1"/>
  <c r="P318" i="3"/>
  <c r="Q318" i="3" s="1"/>
  <c r="R318" i="3" s="1"/>
  <c r="S318" i="3" s="1"/>
  <c r="AD318" i="3"/>
  <c r="Z318" i="3"/>
  <c r="AC318" i="3"/>
  <c r="I317" i="3"/>
  <c r="W317" i="3" s="1"/>
  <c r="J317" i="3"/>
  <c r="M317" i="3"/>
  <c r="N317" i="3" s="1"/>
  <c r="T318" i="3" l="1"/>
  <c r="L317" i="3"/>
  <c r="AH318" i="3" l="1"/>
  <c r="U317" i="3"/>
  <c r="D318" i="3" s="1"/>
  <c r="AG318" i="3"/>
  <c r="Y316" i="3"/>
  <c r="E318" i="3" l="1"/>
  <c r="H318" i="3" s="1"/>
  <c r="K318" i="3" s="1"/>
  <c r="AE318" i="3" s="1"/>
  <c r="G318" i="3"/>
  <c r="F318" i="3" l="1"/>
  <c r="I318" i="3"/>
  <c r="J318" i="3"/>
  <c r="M318" i="3"/>
  <c r="N318" i="3" s="1"/>
  <c r="V318" i="3"/>
  <c r="A319" i="3"/>
  <c r="B319" i="3" s="1"/>
  <c r="W318" i="3" l="1"/>
  <c r="P319" i="3"/>
  <c r="Q319" i="3" s="1"/>
  <c r="R319" i="3" s="1"/>
  <c r="S319" i="3" s="1"/>
  <c r="Z319" i="3"/>
  <c r="AC319" i="3"/>
  <c r="AD319" i="3"/>
  <c r="AA319" i="3"/>
  <c r="L318" i="3"/>
  <c r="U318" i="3" l="1"/>
  <c r="Y317" i="3"/>
  <c r="T319" i="3"/>
  <c r="D319" i="3" l="1"/>
  <c r="G319" i="3" s="1"/>
  <c r="E319" i="3"/>
  <c r="H319" i="3" s="1"/>
  <c r="AG319" i="3"/>
  <c r="AH319" i="3"/>
  <c r="K319" i="3" l="1"/>
  <c r="AE319" i="3" s="1"/>
  <c r="I319" i="3"/>
  <c r="J319" i="3"/>
  <c r="M319" i="3"/>
  <c r="N319" i="3" s="1"/>
  <c r="F319" i="3"/>
  <c r="L319" i="3" l="1"/>
  <c r="V319" i="3"/>
  <c r="W319" i="3" s="1"/>
  <c r="A320" i="3"/>
  <c r="B320" i="3" s="1"/>
  <c r="AD320" i="3" l="1"/>
  <c r="AA320" i="3"/>
  <c r="AC320" i="3"/>
  <c r="Z320" i="3"/>
  <c r="P320" i="3"/>
  <c r="Q320" i="3" s="1"/>
  <c r="R320" i="3" s="1"/>
  <c r="S320" i="3" s="1"/>
  <c r="U319" i="3"/>
  <c r="Y318" i="3"/>
  <c r="T320" i="3" l="1"/>
  <c r="AG320" i="3" s="1"/>
  <c r="AH320" i="3" l="1"/>
  <c r="D320" i="3"/>
  <c r="E320" i="3"/>
  <c r="H320" i="3" s="1"/>
  <c r="K320" i="3" s="1"/>
  <c r="AE320" i="3" s="1"/>
  <c r="F320" i="3" l="1"/>
  <c r="G320" i="3"/>
  <c r="I320" i="3" s="1"/>
  <c r="V320" i="3"/>
  <c r="A321" i="3"/>
  <c r="B321" i="3" s="1"/>
  <c r="J320" i="3" l="1"/>
  <c r="L320" i="3" s="1"/>
  <c r="M320" i="3"/>
  <c r="N320" i="3" s="1"/>
  <c r="W320" i="3"/>
  <c r="AA321" i="3"/>
  <c r="Z321" i="3"/>
  <c r="P321" i="3"/>
  <c r="Q321" i="3" s="1"/>
  <c r="R321" i="3" s="1"/>
  <c r="S321" i="3" s="1"/>
  <c r="AC321" i="3"/>
  <c r="AD321" i="3"/>
  <c r="T321" i="3" l="1"/>
  <c r="AH321" i="3" s="1"/>
  <c r="U320" i="3"/>
  <c r="Y319" i="3"/>
  <c r="E321" i="3" l="1"/>
  <c r="H321" i="3" s="1"/>
  <c r="K321" i="3" s="1"/>
  <c r="AE321" i="3" s="1"/>
  <c r="AG321" i="3"/>
  <c r="D321" i="3"/>
  <c r="F321" i="3" l="1"/>
  <c r="G321" i="3"/>
  <c r="V321" i="3"/>
  <c r="A322" i="3"/>
  <c r="B322" i="3" s="1"/>
  <c r="AC322" i="3" l="1"/>
  <c r="AD322" i="3"/>
  <c r="AA322" i="3"/>
  <c r="Z322" i="3"/>
  <c r="P322" i="3"/>
  <c r="Q322" i="3" s="1"/>
  <c r="R322" i="3" s="1"/>
  <c r="S322" i="3" s="1"/>
  <c r="I321" i="3"/>
  <c r="W321" i="3" s="1"/>
  <c r="J321" i="3"/>
  <c r="M321" i="3"/>
  <c r="N321" i="3" s="1"/>
  <c r="L321" i="3" l="1"/>
  <c r="T322" i="3"/>
  <c r="AG322" i="3" l="1"/>
  <c r="U321" i="3"/>
  <c r="D322" i="3" s="1"/>
  <c r="AH322" i="3"/>
  <c r="Y320" i="3"/>
  <c r="E322" i="3" l="1"/>
  <c r="H322" i="3" s="1"/>
  <c r="K322" i="3" s="1"/>
  <c r="AE322" i="3" s="1"/>
  <c r="G322" i="3"/>
  <c r="F322" i="3" l="1"/>
  <c r="V322" i="3"/>
  <c r="A323" i="3"/>
  <c r="B323" i="3" s="1"/>
  <c r="I322" i="3"/>
  <c r="J322" i="3"/>
  <c r="M322" i="3"/>
  <c r="N322" i="3" s="1"/>
  <c r="AD323" i="3" l="1"/>
  <c r="AC323" i="3"/>
  <c r="P323" i="3"/>
  <c r="Q323" i="3" s="1"/>
  <c r="R323" i="3" s="1"/>
  <c r="S323" i="3" s="1"/>
  <c r="Z323" i="3"/>
  <c r="AA323" i="3"/>
  <c r="L322" i="3"/>
  <c r="W322" i="3"/>
  <c r="T323" i="3" l="1"/>
  <c r="AG323" i="3" s="1"/>
  <c r="U322" i="3"/>
  <c r="Y321" i="3"/>
  <c r="E323" i="3" l="1"/>
  <c r="H323" i="3" s="1"/>
  <c r="K323" i="3" s="1"/>
  <c r="AE323" i="3" s="1"/>
  <c r="AH323" i="3"/>
  <c r="D323" i="3"/>
  <c r="F323" i="3" l="1"/>
  <c r="G323" i="3"/>
  <c r="I323" i="3" s="1"/>
  <c r="V323" i="3"/>
  <c r="A324" i="3"/>
  <c r="B324" i="3" s="1"/>
  <c r="M323" i="3" l="1"/>
  <c r="N323" i="3" s="1"/>
  <c r="J323" i="3"/>
  <c r="L323" i="3" s="1"/>
  <c r="W323" i="3"/>
  <c r="Z324" i="3"/>
  <c r="P324" i="3"/>
  <c r="Q324" i="3" s="1"/>
  <c r="R324" i="3" s="1"/>
  <c r="S324" i="3" s="1"/>
  <c r="AC324" i="3"/>
  <c r="AA324" i="3"/>
  <c r="AD324" i="3"/>
  <c r="U323" i="3" l="1"/>
  <c r="Y322" i="3"/>
  <c r="T324" i="3"/>
  <c r="E324" i="3" l="1"/>
  <c r="H324" i="3" s="1"/>
  <c r="K324" i="3" s="1"/>
  <c r="AE324" i="3" s="1"/>
  <c r="AG324" i="3"/>
  <c r="AH324" i="3"/>
  <c r="D324" i="3"/>
  <c r="F324" i="3" l="1"/>
  <c r="G324" i="3"/>
  <c r="I324" i="3" s="1"/>
  <c r="V324" i="3"/>
  <c r="A325" i="3"/>
  <c r="B325" i="3" s="1"/>
  <c r="M324" i="3" l="1"/>
  <c r="N324" i="3" s="1"/>
  <c r="J324" i="3"/>
  <c r="L324" i="3" s="1"/>
  <c r="W324" i="3"/>
  <c r="AC325" i="3"/>
  <c r="AD325" i="3"/>
  <c r="Z325" i="3"/>
  <c r="P325" i="3"/>
  <c r="Q325" i="3" s="1"/>
  <c r="R325" i="3" s="1"/>
  <c r="S325" i="3" s="1"/>
  <c r="AA325" i="3"/>
  <c r="T325" i="3" l="1"/>
  <c r="AG325" i="3" s="1"/>
  <c r="U324" i="3"/>
  <c r="Y323" i="3"/>
  <c r="AH325" i="3" l="1"/>
  <c r="D325" i="3"/>
  <c r="G325" i="3" s="1"/>
  <c r="E325" i="3"/>
  <c r="H325" i="3" s="1"/>
  <c r="K325" i="3" s="1"/>
  <c r="AE325" i="3" s="1"/>
  <c r="F325" i="3" l="1"/>
  <c r="V325" i="3"/>
  <c r="A326" i="3"/>
  <c r="B326" i="3" s="1"/>
  <c r="I325" i="3"/>
  <c r="J325" i="3"/>
  <c r="M325" i="3"/>
  <c r="N325" i="3" s="1"/>
  <c r="P326" i="3" l="1"/>
  <c r="Q326" i="3" s="1"/>
  <c r="R326" i="3" s="1"/>
  <c r="S326" i="3" s="1"/>
  <c r="AD326" i="3"/>
  <c r="Z326" i="3"/>
  <c r="AA326" i="3"/>
  <c r="AC326" i="3"/>
  <c r="L325" i="3"/>
  <c r="W325" i="3"/>
  <c r="T326" i="3" l="1"/>
  <c r="AH326" i="3" s="1"/>
  <c r="U325" i="3"/>
  <c r="Y324" i="3"/>
  <c r="AG326" i="3" l="1"/>
  <c r="E326" i="3"/>
  <c r="H326" i="3" s="1"/>
  <c r="K326" i="3" s="1"/>
  <c r="AE326" i="3" s="1"/>
  <c r="D326" i="3"/>
  <c r="F326" i="3" l="1"/>
  <c r="G326" i="3"/>
  <c r="I326" i="3" s="1"/>
  <c r="V326" i="3"/>
  <c r="A327" i="3"/>
  <c r="B327" i="3" s="1"/>
  <c r="M326" i="3" l="1"/>
  <c r="N326" i="3" s="1"/>
  <c r="J326" i="3"/>
  <c r="L326" i="3" s="1"/>
  <c r="W326" i="3"/>
  <c r="P327" i="3"/>
  <c r="Q327" i="3" s="1"/>
  <c r="R327" i="3" s="1"/>
  <c r="S327" i="3" s="1"/>
  <c r="AD327" i="3"/>
  <c r="Z327" i="3"/>
  <c r="AA327" i="3"/>
  <c r="AC327" i="3"/>
  <c r="T327" i="3" l="1"/>
  <c r="AH327" i="3" s="1"/>
  <c r="U326" i="3"/>
  <c r="Y325" i="3"/>
  <c r="E327" i="3" l="1"/>
  <c r="H327" i="3" s="1"/>
  <c r="K327" i="3" s="1"/>
  <c r="AE327" i="3" s="1"/>
  <c r="AG327" i="3"/>
  <c r="D327" i="3"/>
  <c r="F327" i="3" l="1"/>
  <c r="G327" i="3"/>
  <c r="V327" i="3"/>
  <c r="A328" i="3"/>
  <c r="B328" i="3" s="1"/>
  <c r="AA328" i="3" l="1"/>
  <c r="AD328" i="3"/>
  <c r="P328" i="3"/>
  <c r="Q328" i="3" s="1"/>
  <c r="R328" i="3" s="1"/>
  <c r="S328" i="3" s="1"/>
  <c r="AC328" i="3"/>
  <c r="Z328" i="3"/>
  <c r="I327" i="3"/>
  <c r="W327" i="3" s="1"/>
  <c r="J327" i="3"/>
  <c r="M327" i="3"/>
  <c r="N327" i="3" s="1"/>
  <c r="L327" i="3" l="1"/>
  <c r="T328" i="3"/>
  <c r="AG328" i="3" l="1"/>
  <c r="AH328" i="3"/>
  <c r="U327" i="3"/>
  <c r="D328" i="3" s="1"/>
  <c r="Y326" i="3"/>
  <c r="E328" i="3" l="1"/>
  <c r="H328" i="3" s="1"/>
  <c r="K328" i="3" s="1"/>
  <c r="AE328" i="3" s="1"/>
  <c r="G328" i="3"/>
  <c r="F328" i="3" l="1"/>
  <c r="V328" i="3"/>
  <c r="A329" i="3"/>
  <c r="B329" i="3" s="1"/>
  <c r="I328" i="3"/>
  <c r="J328" i="3"/>
  <c r="M328" i="3"/>
  <c r="N328" i="3" s="1"/>
  <c r="Z329" i="3" l="1"/>
  <c r="AA329" i="3"/>
  <c r="AD329" i="3"/>
  <c r="P329" i="3"/>
  <c r="Q329" i="3" s="1"/>
  <c r="R329" i="3" s="1"/>
  <c r="S329" i="3" s="1"/>
  <c r="AC329" i="3"/>
  <c r="L328" i="3"/>
  <c r="W328" i="3"/>
  <c r="T329" i="3" l="1"/>
  <c r="AH329" i="3" s="1"/>
  <c r="U328" i="3"/>
  <c r="Y327" i="3"/>
  <c r="D329" i="3" l="1"/>
  <c r="G329" i="3" s="1"/>
  <c r="AG329" i="3"/>
  <c r="E329" i="3"/>
  <c r="H329" i="3" s="1"/>
  <c r="K329" i="3" s="1"/>
  <c r="AE329" i="3" s="1"/>
  <c r="F329" i="3" l="1"/>
  <c r="V329" i="3"/>
  <c r="A330" i="3"/>
  <c r="B330" i="3" s="1"/>
  <c r="I329" i="3"/>
  <c r="J329" i="3"/>
  <c r="M329" i="3"/>
  <c r="N329" i="3" s="1"/>
  <c r="L329" i="3" l="1"/>
  <c r="P330" i="3"/>
  <c r="Q330" i="3" s="1"/>
  <c r="R330" i="3" s="1"/>
  <c r="S330" i="3" s="1"/>
  <c r="AC330" i="3"/>
  <c r="AD330" i="3"/>
  <c r="Z330" i="3"/>
  <c r="AA330" i="3"/>
  <c r="W329" i="3"/>
  <c r="T330" i="3" l="1"/>
  <c r="AG330" i="3" s="1"/>
  <c r="U329" i="3"/>
  <c r="Y328" i="3"/>
  <c r="D330" i="3" l="1"/>
  <c r="G330" i="3" s="1"/>
  <c r="AH330" i="3"/>
  <c r="E330" i="3"/>
  <c r="H330" i="3" s="1"/>
  <c r="K330" i="3" l="1"/>
  <c r="AE330" i="3" s="1"/>
  <c r="I330" i="3"/>
  <c r="J330" i="3"/>
  <c r="M330" i="3"/>
  <c r="N330" i="3" s="1"/>
  <c r="F330" i="3"/>
  <c r="L330" i="3" l="1"/>
  <c r="V330" i="3"/>
  <c r="W330" i="3" s="1"/>
  <c r="A331" i="3"/>
  <c r="B331" i="3" s="1"/>
  <c r="Z331" i="3" l="1"/>
  <c r="P331" i="3"/>
  <c r="Q331" i="3" s="1"/>
  <c r="R331" i="3" s="1"/>
  <c r="S331" i="3" s="1"/>
  <c r="AC331" i="3"/>
  <c r="AA331" i="3"/>
  <c r="AD331" i="3"/>
  <c r="U330" i="3"/>
  <c r="Y329" i="3"/>
  <c r="T331" i="3" l="1"/>
  <c r="E331" i="3" s="1"/>
  <c r="H331" i="3" s="1"/>
  <c r="AH331" i="3" l="1"/>
  <c r="AG331" i="3"/>
  <c r="D331" i="3"/>
  <c r="F331" i="3" s="1"/>
  <c r="K331" i="3"/>
  <c r="AE331" i="3" s="1"/>
  <c r="G331" i="3" l="1"/>
  <c r="I331" i="3" s="1"/>
  <c r="V331" i="3"/>
  <c r="A332" i="3"/>
  <c r="B332" i="3" s="1"/>
  <c r="M331" i="3" l="1"/>
  <c r="N331" i="3" s="1"/>
  <c r="J331" i="3"/>
  <c r="L331" i="3" s="1"/>
  <c r="AC332" i="3"/>
  <c r="AA332" i="3"/>
  <c r="P332" i="3"/>
  <c r="Q332" i="3" s="1"/>
  <c r="R332" i="3" s="1"/>
  <c r="S332" i="3" s="1"/>
  <c r="Z332" i="3"/>
  <c r="AD332" i="3"/>
  <c r="W331" i="3"/>
  <c r="T332" i="3" l="1"/>
  <c r="AH332" i="3" s="1"/>
  <c r="U331" i="3"/>
  <c r="Y330" i="3"/>
  <c r="E332" i="3" l="1"/>
  <c r="H332" i="3" s="1"/>
  <c r="K332" i="3" s="1"/>
  <c r="AE332" i="3" s="1"/>
  <c r="AG332" i="3"/>
  <c r="D332" i="3"/>
  <c r="V332" i="3" l="1"/>
  <c r="A333" i="3"/>
  <c r="B333" i="3" s="1"/>
  <c r="F332" i="3"/>
  <c r="G332" i="3"/>
  <c r="I332" i="3" l="1"/>
  <c r="W332" i="3" s="1"/>
  <c r="J332" i="3"/>
  <c r="M332" i="3"/>
  <c r="N332" i="3" s="1"/>
  <c r="AD333" i="3"/>
  <c r="P333" i="3"/>
  <c r="Q333" i="3" s="1"/>
  <c r="R333" i="3" s="1"/>
  <c r="S333" i="3" s="1"/>
  <c r="AC333" i="3"/>
  <c r="AA333" i="3"/>
  <c r="Z333" i="3"/>
  <c r="T333" i="3" l="1"/>
  <c r="L332" i="3"/>
  <c r="AG333" i="3" l="1"/>
  <c r="U332" i="3"/>
  <c r="E333" i="3" s="1"/>
  <c r="H333" i="3" s="1"/>
  <c r="AH333" i="3"/>
  <c r="Y331" i="3"/>
  <c r="D333" i="3" l="1"/>
  <c r="F333" i="3" s="1"/>
  <c r="K333" i="3"/>
  <c r="AE333" i="3" s="1"/>
  <c r="G333" i="3" l="1"/>
  <c r="I333" i="3" s="1"/>
  <c r="V333" i="3"/>
  <c r="A334" i="3"/>
  <c r="B334" i="3" s="1"/>
  <c r="M333" i="3" l="1"/>
  <c r="N333" i="3" s="1"/>
  <c r="J333" i="3"/>
  <c r="L333" i="3" s="1"/>
  <c r="W333" i="3"/>
  <c r="AD334" i="3"/>
  <c r="Z334" i="3"/>
  <c r="P334" i="3"/>
  <c r="Q334" i="3" s="1"/>
  <c r="R334" i="3" s="1"/>
  <c r="S334" i="3" s="1"/>
  <c r="AC334" i="3"/>
  <c r="AA334" i="3"/>
  <c r="T334" i="3" l="1"/>
  <c r="AH334" i="3" s="1"/>
  <c r="U333" i="3"/>
  <c r="Y332" i="3"/>
  <c r="AG334" i="3" l="1"/>
  <c r="E334" i="3"/>
  <c r="H334" i="3" s="1"/>
  <c r="K334" i="3" s="1"/>
  <c r="AE334" i="3" s="1"/>
  <c r="D334" i="3"/>
  <c r="F334" i="3" l="1"/>
  <c r="G334" i="3"/>
  <c r="I334" i="3" s="1"/>
  <c r="V334" i="3"/>
  <c r="A335" i="3"/>
  <c r="B335" i="3" s="1"/>
  <c r="J334" i="3" l="1"/>
  <c r="L334" i="3" s="1"/>
  <c r="M334" i="3"/>
  <c r="N334" i="3" s="1"/>
  <c r="W334" i="3"/>
  <c r="AD335" i="3"/>
  <c r="Z335" i="3"/>
  <c r="AA335" i="3"/>
  <c r="AC335" i="3"/>
  <c r="P335" i="3"/>
  <c r="Q335" i="3" s="1"/>
  <c r="R335" i="3" s="1"/>
  <c r="S335" i="3" s="1"/>
  <c r="U334" i="3" l="1"/>
  <c r="Y333" i="3"/>
  <c r="T335" i="3"/>
  <c r="AG335" i="3" s="1"/>
  <c r="E335" i="3" l="1"/>
  <c r="H335" i="3" s="1"/>
  <c r="D335" i="3"/>
  <c r="AH335" i="3"/>
  <c r="F335" i="3" l="1"/>
  <c r="G335" i="3"/>
  <c r="K335" i="3"/>
  <c r="AE335" i="3" s="1"/>
  <c r="V335" i="3" l="1"/>
  <c r="A336" i="3"/>
  <c r="B336" i="3" s="1"/>
  <c r="I335" i="3"/>
  <c r="J335" i="3"/>
  <c r="M335" i="3"/>
  <c r="N335" i="3" s="1"/>
  <c r="L335" i="3" l="1"/>
  <c r="Z336" i="3"/>
  <c r="AC336" i="3"/>
  <c r="AA336" i="3"/>
  <c r="P336" i="3"/>
  <c r="Q336" i="3" s="1"/>
  <c r="R336" i="3" s="1"/>
  <c r="S336" i="3" s="1"/>
  <c r="AD336" i="3"/>
  <c r="W335" i="3"/>
  <c r="T336" i="3" l="1"/>
  <c r="AH336" i="3" s="1"/>
  <c r="U335" i="3"/>
  <c r="Y334" i="3"/>
  <c r="E336" i="3" l="1"/>
  <c r="H336" i="3" s="1"/>
  <c r="K336" i="3" s="1"/>
  <c r="AE336" i="3" s="1"/>
  <c r="AG336" i="3"/>
  <c r="D336" i="3"/>
  <c r="G336" i="3" s="1"/>
  <c r="F336" i="3" l="1"/>
  <c r="I336" i="3"/>
  <c r="J336" i="3"/>
  <c r="M336" i="3"/>
  <c r="N336" i="3" s="1"/>
  <c r="V336" i="3"/>
  <c r="A337" i="3"/>
  <c r="B337" i="3" s="1"/>
  <c r="W336" i="3" l="1"/>
  <c r="Z337" i="3"/>
  <c r="P337" i="3"/>
  <c r="Q337" i="3" s="1"/>
  <c r="R337" i="3" s="1"/>
  <c r="S337" i="3" s="1"/>
  <c r="AD337" i="3"/>
  <c r="AC337" i="3"/>
  <c r="AA337" i="3"/>
  <c r="L336" i="3"/>
  <c r="U336" i="3" l="1"/>
  <c r="Y335" i="3"/>
  <c r="T337" i="3"/>
  <c r="D337" i="3" l="1"/>
  <c r="G337" i="3" s="1"/>
  <c r="E337" i="3"/>
  <c r="H337" i="3" s="1"/>
  <c r="AG337" i="3"/>
  <c r="AH337" i="3"/>
  <c r="K337" i="3" l="1"/>
  <c r="AE337" i="3" s="1"/>
  <c r="I337" i="3"/>
  <c r="J337" i="3"/>
  <c r="M337" i="3"/>
  <c r="N337" i="3" s="1"/>
  <c r="F337" i="3"/>
  <c r="L337" i="3" l="1"/>
  <c r="V337" i="3"/>
  <c r="W337" i="3" s="1"/>
  <c r="A338" i="3"/>
  <c r="B338" i="3" s="1"/>
  <c r="Z338" i="3" l="1"/>
  <c r="P338" i="3"/>
  <c r="Q338" i="3" s="1"/>
  <c r="R338" i="3" s="1"/>
  <c r="S338" i="3" s="1"/>
  <c r="AD338" i="3"/>
  <c r="AA338" i="3"/>
  <c r="AC338" i="3"/>
  <c r="U337" i="3"/>
  <c r="Y336" i="3"/>
  <c r="T338" i="3" l="1"/>
  <c r="E338" i="3" s="1"/>
  <c r="H338" i="3" s="1"/>
  <c r="D338" i="3" l="1"/>
  <c r="F338" i="3" s="1"/>
  <c r="AG338" i="3"/>
  <c r="AH338" i="3"/>
  <c r="K338" i="3"/>
  <c r="AE338" i="3" s="1"/>
  <c r="G338" i="3" l="1"/>
  <c r="I338" i="3" s="1"/>
  <c r="V338" i="3"/>
  <c r="A339" i="3"/>
  <c r="B339" i="3" s="1"/>
  <c r="M338" i="3" l="1"/>
  <c r="N338" i="3" s="1"/>
  <c r="J338" i="3"/>
  <c r="L338" i="3" s="1"/>
  <c r="W338" i="3"/>
  <c r="Z339" i="3"/>
  <c r="AD339" i="3"/>
  <c r="P339" i="3"/>
  <c r="Q339" i="3" s="1"/>
  <c r="R339" i="3" s="1"/>
  <c r="S339" i="3" s="1"/>
  <c r="AA339" i="3"/>
  <c r="AC339" i="3"/>
  <c r="T339" i="3" l="1"/>
  <c r="AG339" i="3" s="1"/>
  <c r="U338" i="3"/>
  <c r="Y337" i="3"/>
  <c r="D339" i="3" l="1"/>
  <c r="G339" i="3" s="1"/>
  <c r="AH339" i="3"/>
  <c r="E339" i="3"/>
  <c r="H339" i="3" s="1"/>
  <c r="K339" i="3" s="1"/>
  <c r="AE339" i="3" s="1"/>
  <c r="F339" i="3" l="1"/>
  <c r="I339" i="3"/>
  <c r="J339" i="3"/>
  <c r="M339" i="3"/>
  <c r="N339" i="3" s="1"/>
  <c r="V339" i="3"/>
  <c r="A340" i="3"/>
  <c r="B340" i="3" s="1"/>
  <c r="W339" i="3" l="1"/>
  <c r="AA340" i="3"/>
  <c r="AD340" i="3"/>
  <c r="Z340" i="3"/>
  <c r="P340" i="3"/>
  <c r="Q340" i="3" s="1"/>
  <c r="R340" i="3" s="1"/>
  <c r="S340" i="3" s="1"/>
  <c r="AC340" i="3"/>
  <c r="L339" i="3"/>
  <c r="T340" i="3" l="1"/>
  <c r="AG340" i="3" s="1"/>
  <c r="U339" i="3"/>
  <c r="Y338" i="3"/>
  <c r="AH340" i="3" l="1"/>
  <c r="E340" i="3"/>
  <c r="H340" i="3" s="1"/>
  <c r="K340" i="3" s="1"/>
  <c r="AE340" i="3" s="1"/>
  <c r="D340" i="3"/>
  <c r="F340" i="3" l="1"/>
  <c r="G340" i="3"/>
  <c r="I340" i="3" s="1"/>
  <c r="V340" i="3"/>
  <c r="A341" i="3"/>
  <c r="B341" i="3" s="1"/>
  <c r="M340" i="3" l="1"/>
  <c r="N340" i="3" s="1"/>
  <c r="J340" i="3"/>
  <c r="L340" i="3" s="1"/>
  <c r="AA341" i="3"/>
  <c r="AC341" i="3"/>
  <c r="AD341" i="3"/>
  <c r="Z341" i="3"/>
  <c r="P341" i="3"/>
  <c r="Q341" i="3" s="1"/>
  <c r="R341" i="3" s="1"/>
  <c r="S341" i="3" s="1"/>
  <c r="W340" i="3"/>
  <c r="U340" i="3" l="1"/>
  <c r="Y339" i="3"/>
  <c r="T341" i="3"/>
  <c r="D341" i="3" l="1"/>
  <c r="G341" i="3" s="1"/>
  <c r="E341" i="3"/>
  <c r="H341" i="3" s="1"/>
  <c r="K341" i="3" s="1"/>
  <c r="AE341" i="3" s="1"/>
  <c r="AH341" i="3"/>
  <c r="AG341" i="3"/>
  <c r="F341" i="3" l="1"/>
  <c r="V341" i="3"/>
  <c r="A342" i="3"/>
  <c r="B342" i="3" s="1"/>
  <c r="I341" i="3"/>
  <c r="J341" i="3"/>
  <c r="M341" i="3"/>
  <c r="N341" i="3" s="1"/>
  <c r="L341" i="3" l="1"/>
  <c r="P342" i="3"/>
  <c r="Q342" i="3" s="1"/>
  <c r="R342" i="3" s="1"/>
  <c r="S342" i="3" s="1"/>
  <c r="AA342" i="3"/>
  <c r="AD342" i="3"/>
  <c r="AC342" i="3"/>
  <c r="Z342" i="3"/>
  <c r="W341" i="3"/>
  <c r="T342" i="3" l="1"/>
  <c r="AG342" i="3" s="1"/>
  <c r="U341" i="3"/>
  <c r="Y340" i="3"/>
  <c r="D342" i="3" l="1"/>
  <c r="G342" i="3" s="1"/>
  <c r="AH342" i="3"/>
  <c r="E342" i="3"/>
  <c r="H342" i="3" s="1"/>
  <c r="K342" i="3" s="1"/>
  <c r="AE342" i="3" s="1"/>
  <c r="F342" i="3" l="1"/>
  <c r="V342" i="3"/>
  <c r="A343" i="3"/>
  <c r="B343" i="3" s="1"/>
  <c r="I342" i="3"/>
  <c r="J342" i="3"/>
  <c r="M342" i="3"/>
  <c r="N342" i="3" s="1"/>
  <c r="AD343" i="3" l="1"/>
  <c r="P343" i="3"/>
  <c r="Q343" i="3" s="1"/>
  <c r="R343" i="3" s="1"/>
  <c r="S343" i="3" s="1"/>
  <c r="AA343" i="3"/>
  <c r="Z343" i="3"/>
  <c r="AC343" i="3"/>
  <c r="L342" i="3"/>
  <c r="W342" i="3"/>
  <c r="T343" i="3" l="1"/>
  <c r="AG343" i="3" s="1"/>
  <c r="U342" i="3"/>
  <c r="Y341" i="3"/>
  <c r="D343" i="3" l="1"/>
  <c r="G343" i="3" s="1"/>
  <c r="AH343" i="3"/>
  <c r="E343" i="3"/>
  <c r="H343" i="3" s="1"/>
  <c r="K343" i="3" s="1"/>
  <c r="AE343" i="3" s="1"/>
  <c r="F343" i="3" l="1"/>
  <c r="V343" i="3"/>
  <c r="A344" i="3"/>
  <c r="B344" i="3" s="1"/>
  <c r="I343" i="3"/>
  <c r="J343" i="3"/>
  <c r="M343" i="3"/>
  <c r="N343" i="3" s="1"/>
  <c r="W343" i="3" l="1"/>
  <c r="L343" i="3"/>
  <c r="P344" i="3"/>
  <c r="Q344" i="3" s="1"/>
  <c r="R344" i="3" s="1"/>
  <c r="S344" i="3" s="1"/>
  <c r="AC344" i="3"/>
  <c r="AA344" i="3"/>
  <c r="Z344" i="3"/>
  <c r="AD344" i="3"/>
  <c r="T344" i="3" l="1"/>
  <c r="AH344" i="3" s="1"/>
  <c r="U343" i="3"/>
  <c r="Y342" i="3"/>
  <c r="D344" i="3" l="1"/>
  <c r="G344" i="3" s="1"/>
  <c r="E344" i="3"/>
  <c r="H344" i="3" s="1"/>
  <c r="K344" i="3" s="1"/>
  <c r="AE344" i="3" s="1"/>
  <c r="AG344" i="3"/>
  <c r="F344" i="3" l="1"/>
  <c r="I344" i="3"/>
  <c r="J344" i="3"/>
  <c r="M344" i="3"/>
  <c r="N344" i="3" s="1"/>
  <c r="V344" i="3"/>
  <c r="A345" i="3"/>
  <c r="B345" i="3" s="1"/>
  <c r="W344" i="3" l="1"/>
  <c r="P345" i="3"/>
  <c r="Q345" i="3" s="1"/>
  <c r="R345" i="3" s="1"/>
  <c r="S345" i="3" s="1"/>
  <c r="AC345" i="3"/>
  <c r="AD345" i="3"/>
  <c r="Z345" i="3"/>
  <c r="AA345" i="3"/>
  <c r="L344" i="3"/>
  <c r="U344" i="3" l="1"/>
  <c r="Y343" i="3"/>
  <c r="T345" i="3"/>
  <c r="AG345" i="3" s="1"/>
  <c r="E345" i="3" l="1"/>
  <c r="H345" i="3" s="1"/>
  <c r="K345" i="3" s="1"/>
  <c r="AE345" i="3" s="1"/>
  <c r="D345" i="3"/>
  <c r="G345" i="3" s="1"/>
  <c r="AH345" i="3"/>
  <c r="F345" i="3" l="1"/>
  <c r="I345" i="3"/>
  <c r="J345" i="3"/>
  <c r="M345" i="3"/>
  <c r="N345" i="3" s="1"/>
  <c r="V345" i="3"/>
  <c r="A346" i="3"/>
  <c r="B346" i="3" s="1"/>
  <c r="W345" i="3" l="1"/>
  <c r="Z346" i="3"/>
  <c r="AD346" i="3"/>
  <c r="AA346" i="3"/>
  <c r="AC346" i="3"/>
  <c r="P346" i="3"/>
  <c r="Q346" i="3" s="1"/>
  <c r="R346" i="3" s="1"/>
  <c r="S346" i="3" s="1"/>
  <c r="L345" i="3"/>
  <c r="T346" i="3" l="1"/>
  <c r="AG346" i="3" s="1"/>
  <c r="U345" i="3"/>
  <c r="Y344" i="3"/>
  <c r="E346" i="3" l="1"/>
  <c r="H346" i="3" s="1"/>
  <c r="K346" i="3" s="1"/>
  <c r="AE346" i="3" s="1"/>
  <c r="AH346" i="3"/>
  <c r="D346" i="3"/>
  <c r="G346" i="3" s="1"/>
  <c r="F346" i="3" l="1"/>
  <c r="I346" i="3"/>
  <c r="J346" i="3"/>
  <c r="M346" i="3"/>
  <c r="N346" i="3" s="1"/>
  <c r="V346" i="3"/>
  <c r="A347" i="3"/>
  <c r="B347" i="3" s="1"/>
  <c r="W346" i="3" l="1"/>
  <c r="AD347" i="3"/>
  <c r="P347" i="3"/>
  <c r="Q347" i="3" s="1"/>
  <c r="R347" i="3" s="1"/>
  <c r="S347" i="3" s="1"/>
  <c r="Z347" i="3"/>
  <c r="AC347" i="3"/>
  <c r="AA347" i="3"/>
  <c r="L346" i="3"/>
  <c r="T347" i="3" l="1"/>
  <c r="AH347" i="3" s="1"/>
  <c r="U346" i="3"/>
  <c r="Y345" i="3"/>
  <c r="D347" i="3" l="1"/>
  <c r="E347" i="3"/>
  <c r="H347" i="3" s="1"/>
  <c r="AG347" i="3"/>
  <c r="K347" i="3" l="1"/>
  <c r="AE347" i="3" s="1"/>
  <c r="F347" i="3"/>
  <c r="G347" i="3"/>
  <c r="I347" i="3" l="1"/>
  <c r="J347" i="3"/>
  <c r="M347" i="3"/>
  <c r="N347" i="3" s="1"/>
  <c r="V347" i="3"/>
  <c r="A348" i="3"/>
  <c r="B348" i="3" s="1"/>
  <c r="W347" i="3" l="1"/>
  <c r="AD348" i="3"/>
  <c r="Z348" i="3"/>
  <c r="AC348" i="3"/>
  <c r="AA348" i="3"/>
  <c r="P348" i="3"/>
  <c r="Q348" i="3" s="1"/>
  <c r="R348" i="3" s="1"/>
  <c r="S348" i="3" s="1"/>
  <c r="L347" i="3"/>
  <c r="T348" i="3" l="1"/>
  <c r="AG348" i="3" s="1"/>
  <c r="U347" i="3"/>
  <c r="Y346" i="3"/>
  <c r="D348" i="3" l="1"/>
  <c r="G348" i="3" s="1"/>
  <c r="E348" i="3"/>
  <c r="H348" i="3" s="1"/>
  <c r="K348" i="3" s="1"/>
  <c r="AE348" i="3" s="1"/>
  <c r="AH348" i="3"/>
  <c r="F348" i="3" l="1"/>
  <c r="I348" i="3"/>
  <c r="J348" i="3"/>
  <c r="M348" i="3"/>
  <c r="N348" i="3" s="1"/>
  <c r="V348" i="3"/>
  <c r="A349" i="3"/>
  <c r="B349" i="3" s="1"/>
  <c r="W348" i="3" l="1"/>
  <c r="AA349" i="3"/>
  <c r="P349" i="3"/>
  <c r="Q349" i="3" s="1"/>
  <c r="R349" i="3" s="1"/>
  <c r="S349" i="3" s="1"/>
  <c r="AC349" i="3"/>
  <c r="Z349" i="3"/>
  <c r="AD349" i="3"/>
  <c r="L348" i="3"/>
  <c r="U348" i="3" l="1"/>
  <c r="Y347" i="3"/>
  <c r="T349" i="3"/>
  <c r="AG349" i="3" s="1"/>
  <c r="D349" i="3" l="1"/>
  <c r="AH349" i="3"/>
  <c r="E349" i="3"/>
  <c r="H349" i="3" s="1"/>
  <c r="K349" i="3" l="1"/>
  <c r="AE349" i="3" s="1"/>
  <c r="F349" i="3"/>
  <c r="G349" i="3"/>
  <c r="I349" i="3" l="1"/>
  <c r="J349" i="3"/>
  <c r="M349" i="3"/>
  <c r="N349" i="3" s="1"/>
  <c r="V349" i="3"/>
  <c r="A350" i="3"/>
  <c r="B350" i="3" s="1"/>
  <c r="W349" i="3" l="1"/>
  <c r="P350" i="3"/>
  <c r="Q350" i="3" s="1"/>
  <c r="R350" i="3" s="1"/>
  <c r="S350" i="3" s="1"/>
  <c r="AD350" i="3"/>
  <c r="AA350" i="3"/>
  <c r="AC350" i="3"/>
  <c r="Z350" i="3"/>
  <c r="L349" i="3"/>
  <c r="U349" i="3" l="1"/>
  <c r="Y348" i="3"/>
  <c r="T350" i="3"/>
  <c r="AG350" i="3" s="1"/>
  <c r="E350" i="3" l="1"/>
  <c r="H350" i="3" s="1"/>
  <c r="K350" i="3" s="1"/>
  <c r="AE350" i="3" s="1"/>
  <c r="D350" i="3"/>
  <c r="AH350" i="3"/>
  <c r="F350" i="3" l="1"/>
  <c r="G350" i="3"/>
  <c r="V350" i="3"/>
  <c r="A351" i="3"/>
  <c r="B351" i="3" s="1"/>
  <c r="P351" i="3" l="1"/>
  <c r="Q351" i="3" s="1"/>
  <c r="R351" i="3" s="1"/>
  <c r="S351" i="3" s="1"/>
  <c r="Z351" i="3"/>
  <c r="AC351" i="3"/>
  <c r="AD351" i="3"/>
  <c r="AA351" i="3"/>
  <c r="I350" i="3"/>
  <c r="W350" i="3" s="1"/>
  <c r="J350" i="3"/>
  <c r="M350" i="3"/>
  <c r="N350" i="3" s="1"/>
  <c r="L350" i="3" l="1"/>
  <c r="T351" i="3"/>
  <c r="AH351" i="3" l="1"/>
  <c r="U350" i="3"/>
  <c r="D351" i="3" s="1"/>
  <c r="AG351" i="3"/>
  <c r="Y349" i="3"/>
  <c r="E351" i="3" l="1"/>
  <c r="H351" i="3" s="1"/>
  <c r="K351" i="3" s="1"/>
  <c r="AE351" i="3" s="1"/>
  <c r="G351" i="3"/>
  <c r="F351" i="3" l="1"/>
  <c r="V351" i="3"/>
  <c r="A352" i="3"/>
  <c r="B352" i="3" s="1"/>
  <c r="I351" i="3"/>
  <c r="J351" i="3"/>
  <c r="M351" i="3"/>
  <c r="N351" i="3" s="1"/>
  <c r="L351" i="3" l="1"/>
  <c r="AA352" i="3"/>
  <c r="Z352" i="3"/>
  <c r="P352" i="3"/>
  <c r="Q352" i="3" s="1"/>
  <c r="R352" i="3" s="1"/>
  <c r="S352" i="3" s="1"/>
  <c r="AC352" i="3"/>
  <c r="AD352" i="3"/>
  <c r="W351" i="3"/>
  <c r="T352" i="3" l="1"/>
  <c r="AH352" i="3" s="1"/>
  <c r="U351" i="3"/>
  <c r="Y350" i="3"/>
  <c r="E352" i="3" l="1"/>
  <c r="H352" i="3" s="1"/>
  <c r="K352" i="3" s="1"/>
  <c r="AE352" i="3" s="1"/>
  <c r="AG352" i="3"/>
  <c r="D352" i="3"/>
  <c r="F352" i="3" l="1"/>
  <c r="G352" i="3"/>
  <c r="I352" i="3" s="1"/>
  <c r="V352" i="3"/>
  <c r="A353" i="3"/>
  <c r="B353" i="3" s="1"/>
  <c r="M352" i="3" l="1"/>
  <c r="N352" i="3" s="1"/>
  <c r="J352" i="3"/>
  <c r="L352" i="3" s="1"/>
  <c r="AD353" i="3"/>
  <c r="P353" i="3"/>
  <c r="Q353" i="3" s="1"/>
  <c r="R353" i="3" s="1"/>
  <c r="S353" i="3" s="1"/>
  <c r="Z353" i="3"/>
  <c r="AC353" i="3"/>
  <c r="AA353" i="3"/>
  <c r="W352" i="3"/>
  <c r="T353" i="3" l="1"/>
  <c r="AG353" i="3" s="1"/>
  <c r="U352" i="3"/>
  <c r="Y351" i="3"/>
  <c r="D353" i="3" l="1"/>
  <c r="G353" i="3" s="1"/>
  <c r="AH353" i="3"/>
  <c r="E353" i="3"/>
  <c r="H353" i="3" s="1"/>
  <c r="K353" i="3" s="1"/>
  <c r="AE353" i="3" s="1"/>
  <c r="F353" i="3" l="1"/>
  <c r="V353" i="3"/>
  <c r="A354" i="3"/>
  <c r="B354" i="3" s="1"/>
  <c r="I353" i="3"/>
  <c r="J353" i="3"/>
  <c r="M353" i="3"/>
  <c r="N353" i="3" s="1"/>
  <c r="L353" i="3" l="1"/>
  <c r="Z354" i="3"/>
  <c r="AD354" i="3"/>
  <c r="AC354" i="3"/>
  <c r="AA354" i="3"/>
  <c r="P354" i="3"/>
  <c r="Q354" i="3" s="1"/>
  <c r="R354" i="3" s="1"/>
  <c r="S354" i="3" s="1"/>
  <c r="W353" i="3"/>
  <c r="U353" i="3" l="1"/>
  <c r="Y352" i="3"/>
  <c r="T354" i="3"/>
  <c r="D354" i="3" l="1"/>
  <c r="G354" i="3" s="1"/>
  <c r="AH354" i="3"/>
  <c r="AG354" i="3"/>
  <c r="E354" i="3"/>
  <c r="H354" i="3" s="1"/>
  <c r="K354" i="3" l="1"/>
  <c r="AE354" i="3" s="1"/>
  <c r="I354" i="3"/>
  <c r="J354" i="3"/>
  <c r="M354" i="3"/>
  <c r="N354" i="3" s="1"/>
  <c r="F354" i="3"/>
  <c r="L354" i="3" l="1"/>
  <c r="V354" i="3"/>
  <c r="W354" i="3" s="1"/>
  <c r="A355" i="3"/>
  <c r="B355" i="3" s="1"/>
  <c r="AD355" i="3" l="1"/>
  <c r="AA355" i="3"/>
  <c r="P355" i="3"/>
  <c r="Q355" i="3" s="1"/>
  <c r="R355" i="3" s="1"/>
  <c r="S355" i="3" s="1"/>
  <c r="AC355" i="3"/>
  <c r="Z355" i="3"/>
  <c r="U354" i="3"/>
  <c r="Y353" i="3"/>
  <c r="T355" i="3" l="1"/>
  <c r="E355" i="3" s="1"/>
  <c r="H355" i="3" s="1"/>
  <c r="AG355" i="3" l="1"/>
  <c r="AH355" i="3"/>
  <c r="D355" i="3"/>
  <c r="F355" i="3" s="1"/>
  <c r="K355" i="3"/>
  <c r="AE355" i="3" s="1"/>
  <c r="G355" i="3" l="1"/>
  <c r="M355" i="3" s="1"/>
  <c r="N355" i="3" s="1"/>
  <c r="V355" i="3"/>
  <c r="A356" i="3"/>
  <c r="B356" i="3" s="1"/>
  <c r="J355" i="3" l="1"/>
  <c r="L355" i="3" s="1"/>
  <c r="I355" i="3"/>
  <c r="W355" i="3" s="1"/>
  <c r="AC356" i="3"/>
  <c r="P356" i="3"/>
  <c r="Q356" i="3" s="1"/>
  <c r="R356" i="3" s="1"/>
  <c r="S356" i="3" s="1"/>
  <c r="AA356" i="3"/>
  <c r="AD356" i="3"/>
  <c r="Z356" i="3"/>
  <c r="T356" i="3" l="1"/>
  <c r="AH356" i="3" s="1"/>
  <c r="U355" i="3"/>
  <c r="Y354" i="3"/>
  <c r="AG356" i="3" l="1"/>
  <c r="E356" i="3"/>
  <c r="H356" i="3" s="1"/>
  <c r="K356" i="3" s="1"/>
  <c r="AE356" i="3" s="1"/>
  <c r="D356" i="3"/>
  <c r="F356" i="3" l="1"/>
  <c r="G356" i="3"/>
  <c r="I356" i="3" s="1"/>
  <c r="V356" i="3"/>
  <c r="A357" i="3"/>
  <c r="B357" i="3" s="1"/>
  <c r="M356" i="3" l="1"/>
  <c r="N356" i="3" s="1"/>
  <c r="J356" i="3"/>
  <c r="L356" i="3" s="1"/>
  <c r="AC357" i="3"/>
  <c r="AA357" i="3"/>
  <c r="P357" i="3"/>
  <c r="Q357" i="3" s="1"/>
  <c r="R357" i="3" s="1"/>
  <c r="S357" i="3" s="1"/>
  <c r="AD357" i="3"/>
  <c r="Z357" i="3"/>
  <c r="W356" i="3"/>
  <c r="T357" i="3" l="1"/>
  <c r="AG357" i="3" s="1"/>
  <c r="U356" i="3"/>
  <c r="Y355" i="3"/>
  <c r="AH357" i="3" l="1"/>
  <c r="D357" i="3"/>
  <c r="G357" i="3" s="1"/>
  <c r="E357" i="3"/>
  <c r="H357" i="3" s="1"/>
  <c r="K357" i="3" s="1"/>
  <c r="AE357" i="3" s="1"/>
  <c r="F357" i="3" l="1"/>
  <c r="V357" i="3"/>
  <c r="A358" i="3"/>
  <c r="B358" i="3" s="1"/>
  <c r="I357" i="3"/>
  <c r="J357" i="3"/>
  <c r="M357" i="3"/>
  <c r="N357" i="3" s="1"/>
  <c r="L357" i="3" l="1"/>
  <c r="W357" i="3"/>
  <c r="AC358" i="3"/>
  <c r="Z358" i="3"/>
  <c r="AA358" i="3"/>
  <c r="AD358" i="3"/>
  <c r="P358" i="3"/>
  <c r="Q358" i="3" s="1"/>
  <c r="R358" i="3" s="1"/>
  <c r="S358" i="3" s="1"/>
  <c r="T358" i="3" l="1"/>
  <c r="AG358" i="3" s="1"/>
  <c r="U357" i="3"/>
  <c r="Y356" i="3"/>
  <c r="D358" i="3" l="1"/>
  <c r="G358" i="3" s="1"/>
  <c r="AH358" i="3"/>
  <c r="E358" i="3"/>
  <c r="H358" i="3" s="1"/>
  <c r="K358" i="3" l="1"/>
  <c r="AE358" i="3" s="1"/>
  <c r="I358" i="3"/>
  <c r="J358" i="3"/>
  <c r="M358" i="3"/>
  <c r="N358" i="3" s="1"/>
  <c r="F358" i="3"/>
  <c r="L358" i="3" l="1"/>
  <c r="V358" i="3"/>
  <c r="W358" i="3" s="1"/>
  <c r="A359" i="3"/>
  <c r="B359" i="3" s="1"/>
  <c r="AC359" i="3" l="1"/>
  <c r="AA359" i="3"/>
  <c r="Z359" i="3"/>
  <c r="AD359" i="3"/>
  <c r="P359" i="3"/>
  <c r="Q359" i="3" s="1"/>
  <c r="R359" i="3" s="1"/>
  <c r="S359" i="3" s="1"/>
  <c r="U358" i="3"/>
  <c r="Y357" i="3"/>
  <c r="T359" i="3" l="1"/>
  <c r="D359" i="3" s="1"/>
  <c r="E359" i="3" l="1"/>
  <c r="H359" i="3" s="1"/>
  <c r="K359" i="3" s="1"/>
  <c r="AE359" i="3" s="1"/>
  <c r="AG359" i="3"/>
  <c r="AH359" i="3"/>
  <c r="G359" i="3"/>
  <c r="F359" i="3" l="1"/>
  <c r="I359" i="3"/>
  <c r="J359" i="3"/>
  <c r="M359" i="3"/>
  <c r="N359" i="3" s="1"/>
  <c r="V359" i="3"/>
  <c r="A360" i="3"/>
  <c r="B360" i="3" s="1"/>
  <c r="W359" i="3" l="1"/>
  <c r="Z360" i="3"/>
  <c r="P360" i="3"/>
  <c r="Q360" i="3" s="1"/>
  <c r="R360" i="3" s="1"/>
  <c r="S360" i="3" s="1"/>
  <c r="AC360" i="3"/>
  <c r="AA360" i="3"/>
  <c r="AD360" i="3"/>
  <c r="L359" i="3"/>
  <c r="T360" i="3" l="1"/>
  <c r="AH360" i="3" s="1"/>
  <c r="U359" i="3"/>
  <c r="Y358" i="3"/>
  <c r="D360" i="3" l="1"/>
  <c r="G360" i="3" s="1"/>
  <c r="AG360" i="3"/>
  <c r="E360" i="3"/>
  <c r="H360" i="3" s="1"/>
  <c r="K360" i="3" l="1"/>
  <c r="AE360" i="3" s="1"/>
  <c r="I360" i="3"/>
  <c r="J360" i="3"/>
  <c r="M360" i="3"/>
  <c r="N360" i="3" s="1"/>
  <c r="F360" i="3"/>
  <c r="L360" i="3" l="1"/>
  <c r="V360" i="3"/>
  <c r="W360" i="3" s="1"/>
  <c r="A361" i="3"/>
  <c r="B361" i="3" s="1"/>
  <c r="Z361" i="3" l="1"/>
  <c r="AC361" i="3"/>
  <c r="AD361" i="3"/>
  <c r="P361" i="3"/>
  <c r="Q361" i="3" s="1"/>
  <c r="R361" i="3" s="1"/>
  <c r="S361" i="3" s="1"/>
  <c r="AA361" i="3"/>
  <c r="U360" i="3"/>
  <c r="Y359" i="3"/>
  <c r="T361" i="3" l="1"/>
  <c r="AH361" i="3" s="1"/>
  <c r="AG361" i="3" l="1"/>
  <c r="D361" i="3"/>
  <c r="E361" i="3"/>
  <c r="H361" i="3" s="1"/>
  <c r="K361" i="3" l="1"/>
  <c r="AE361" i="3" s="1"/>
  <c r="F361" i="3"/>
  <c r="G361" i="3"/>
  <c r="I361" i="3" l="1"/>
  <c r="J361" i="3"/>
  <c r="M361" i="3"/>
  <c r="N361" i="3" s="1"/>
  <c r="V361" i="3"/>
  <c r="A362" i="3"/>
  <c r="B362" i="3" s="1"/>
  <c r="W361" i="3" l="1"/>
  <c r="Z362" i="3"/>
  <c r="AD362" i="3"/>
  <c r="AC362" i="3"/>
  <c r="AA362" i="3"/>
  <c r="P362" i="3"/>
  <c r="Q362" i="3" s="1"/>
  <c r="R362" i="3" s="1"/>
  <c r="S362" i="3" s="1"/>
  <c r="L361" i="3"/>
  <c r="T362" i="3" l="1"/>
  <c r="AG362" i="3" s="1"/>
  <c r="U361" i="3"/>
  <c r="Y360" i="3"/>
  <c r="E362" i="3" l="1"/>
  <c r="H362" i="3" s="1"/>
  <c r="K362" i="3" s="1"/>
  <c r="AE362" i="3" s="1"/>
  <c r="AH362" i="3"/>
  <c r="D362" i="3"/>
  <c r="F362" i="3" l="1"/>
  <c r="G362" i="3"/>
  <c r="I362" i="3" s="1"/>
  <c r="V362" i="3"/>
  <c r="A363" i="3"/>
  <c r="B363" i="3" s="1"/>
  <c r="M362" i="3" l="1"/>
  <c r="N362" i="3" s="1"/>
  <c r="J362" i="3"/>
  <c r="L362" i="3" s="1"/>
  <c r="W362" i="3"/>
  <c r="AC363" i="3"/>
  <c r="Z363" i="3"/>
  <c r="P363" i="3"/>
  <c r="Q363" i="3" s="1"/>
  <c r="R363" i="3" s="1"/>
  <c r="S363" i="3" s="1"/>
  <c r="AA363" i="3"/>
  <c r="AD363" i="3"/>
  <c r="U362" i="3" l="1"/>
  <c r="Y361" i="3"/>
  <c r="T363" i="3"/>
  <c r="D363" i="3" l="1"/>
  <c r="G363" i="3" s="1"/>
  <c r="E363" i="3"/>
  <c r="H363" i="3" s="1"/>
  <c r="AH363" i="3"/>
  <c r="AG363" i="3"/>
  <c r="I363" i="3" l="1"/>
  <c r="J363" i="3"/>
  <c r="M363" i="3"/>
  <c r="N363" i="3" s="1"/>
  <c r="K363" i="3"/>
  <c r="AE363" i="3" s="1"/>
  <c r="F363" i="3"/>
  <c r="V363" i="3" l="1"/>
  <c r="W363" i="3" s="1"/>
  <c r="A364" i="3"/>
  <c r="B364" i="3" s="1"/>
  <c r="L363" i="3"/>
  <c r="U363" i="3" l="1"/>
  <c r="Y362" i="3"/>
  <c r="AC364" i="3"/>
  <c r="Z364" i="3"/>
  <c r="AD364" i="3"/>
  <c r="AA364" i="3"/>
  <c r="P364" i="3"/>
  <c r="Q364" i="3" s="1"/>
  <c r="R364" i="3" s="1"/>
  <c r="S364" i="3" s="1"/>
  <c r="T364" i="3" l="1"/>
  <c r="AG364" i="3" s="1"/>
  <c r="D364" i="3" l="1"/>
  <c r="G364" i="3" s="1"/>
  <c r="AH364" i="3"/>
  <c r="E364" i="3"/>
  <c r="H364" i="3" s="1"/>
  <c r="K364" i="3" s="1"/>
  <c r="AE364" i="3" s="1"/>
  <c r="F364" i="3" l="1"/>
  <c r="V364" i="3"/>
  <c r="A365" i="3"/>
  <c r="B365" i="3" s="1"/>
  <c r="I364" i="3"/>
  <c r="J364" i="3"/>
  <c r="M364" i="3"/>
  <c r="N364" i="3" s="1"/>
  <c r="L364" i="3" l="1"/>
  <c r="AD365" i="3"/>
  <c r="AA365" i="3"/>
  <c r="Z365" i="3"/>
  <c r="AC365" i="3"/>
  <c r="P365" i="3"/>
  <c r="Q365" i="3" s="1"/>
  <c r="R365" i="3" s="1"/>
  <c r="S365" i="3" s="1"/>
  <c r="W364" i="3"/>
  <c r="T365" i="3" l="1"/>
  <c r="AH365" i="3" s="1"/>
  <c r="U364" i="3"/>
  <c r="Y363" i="3"/>
  <c r="E365" i="3" l="1"/>
  <c r="H365" i="3" s="1"/>
  <c r="K365" i="3" s="1"/>
  <c r="AE365" i="3" s="1"/>
  <c r="AG365" i="3"/>
  <c r="D365" i="3"/>
  <c r="F365" i="3" l="1"/>
  <c r="G365" i="3"/>
  <c r="I365" i="3" s="1"/>
  <c r="V365" i="3"/>
  <c r="A366" i="3"/>
  <c r="B366" i="3" s="1"/>
  <c r="M365" i="3" l="1"/>
  <c r="N365" i="3" s="1"/>
  <c r="W365" i="3"/>
  <c r="J365" i="3"/>
  <c r="L365" i="3" s="1"/>
  <c r="AA366" i="3"/>
  <c r="AD366" i="3"/>
  <c r="P366" i="3"/>
  <c r="Q366" i="3" s="1"/>
  <c r="R366" i="3" s="1"/>
  <c r="S366" i="3" s="1"/>
  <c r="AC366" i="3"/>
  <c r="Z366" i="3"/>
  <c r="T366" i="3" l="1"/>
  <c r="AH366" i="3" s="1"/>
  <c r="U365" i="3"/>
  <c r="Y364" i="3"/>
  <c r="D366" i="3" l="1"/>
  <c r="G366" i="3" s="1"/>
  <c r="AG366" i="3"/>
  <c r="E366" i="3"/>
  <c r="H366" i="3" s="1"/>
  <c r="K366" i="3" s="1"/>
  <c r="AE366" i="3" s="1"/>
  <c r="F366" i="3" l="1"/>
  <c r="V366" i="3"/>
  <c r="A367" i="3"/>
  <c r="B367" i="3" s="1"/>
  <c r="I366" i="3"/>
  <c r="J366" i="3"/>
  <c r="M366" i="3"/>
  <c r="N366" i="3" s="1"/>
  <c r="Z367" i="3" l="1"/>
  <c r="P367" i="3"/>
  <c r="Q367" i="3" s="1"/>
  <c r="R367" i="3" s="1"/>
  <c r="S367" i="3" s="1"/>
  <c r="AA367" i="3"/>
  <c r="AD367" i="3"/>
  <c r="AC367" i="3"/>
  <c r="L366" i="3"/>
  <c r="W366" i="3"/>
  <c r="T367" i="3" l="1"/>
  <c r="AH367" i="3" s="1"/>
  <c r="U366" i="3"/>
  <c r="Y365" i="3"/>
  <c r="D367" i="3" l="1"/>
  <c r="G367" i="3" s="1"/>
  <c r="AG367" i="3"/>
  <c r="E367" i="3"/>
  <c r="H367" i="3" s="1"/>
  <c r="K367" i="3" s="1"/>
  <c r="AE367" i="3" s="1"/>
  <c r="F367" i="3" l="1"/>
  <c r="I367" i="3"/>
  <c r="J367" i="3"/>
  <c r="M367" i="3"/>
  <c r="N367" i="3" s="1"/>
  <c r="V367" i="3"/>
  <c r="A368" i="3"/>
  <c r="B368" i="3" s="1"/>
  <c r="W367" i="3" l="1"/>
  <c r="AD368" i="3"/>
  <c r="AA368" i="3"/>
  <c r="AC368" i="3"/>
  <c r="Z368" i="3"/>
  <c r="P368" i="3"/>
  <c r="Q368" i="3" s="1"/>
  <c r="R368" i="3" s="1"/>
  <c r="S368" i="3" s="1"/>
  <c r="L367" i="3"/>
  <c r="T368" i="3" l="1"/>
  <c r="AH368" i="3" s="1"/>
  <c r="U367" i="3"/>
  <c r="Y366" i="3"/>
  <c r="D368" i="3" l="1"/>
  <c r="G368" i="3" s="1"/>
  <c r="AG368" i="3"/>
  <c r="E368" i="3"/>
  <c r="H368" i="3" s="1"/>
  <c r="K368" i="3" l="1"/>
  <c r="AE368" i="3" s="1"/>
  <c r="I368" i="3"/>
  <c r="J368" i="3"/>
  <c r="M368" i="3"/>
  <c r="N368" i="3" s="1"/>
  <c r="F368" i="3"/>
  <c r="L368" i="3" l="1"/>
  <c r="V368" i="3"/>
  <c r="W368" i="3" s="1"/>
  <c r="A369" i="3"/>
  <c r="B369" i="3" s="1"/>
  <c r="Z369" i="3" l="1"/>
  <c r="AD369" i="3"/>
  <c r="P369" i="3"/>
  <c r="Q369" i="3" s="1"/>
  <c r="R369" i="3" s="1"/>
  <c r="S369" i="3" s="1"/>
  <c r="AC369" i="3"/>
  <c r="AA369" i="3"/>
  <c r="U368" i="3"/>
  <c r="Y367" i="3"/>
  <c r="T369" i="3" l="1"/>
  <c r="AG369" i="3" s="1"/>
  <c r="E369" i="3" l="1"/>
  <c r="H369" i="3" s="1"/>
  <c r="K369" i="3" s="1"/>
  <c r="AE369" i="3" s="1"/>
  <c r="AH369" i="3"/>
  <c r="D369" i="3"/>
  <c r="F369" i="3" l="1"/>
  <c r="G369" i="3"/>
  <c r="V369" i="3"/>
  <c r="A370" i="3"/>
  <c r="B370" i="3" s="1"/>
  <c r="AA370" i="3" l="1"/>
  <c r="Z370" i="3"/>
  <c r="P370" i="3"/>
  <c r="Q370" i="3" s="1"/>
  <c r="R370" i="3" s="1"/>
  <c r="S370" i="3" s="1"/>
  <c r="AD370" i="3"/>
  <c r="AC370" i="3"/>
  <c r="I369" i="3"/>
  <c r="W369" i="3" s="1"/>
  <c r="J369" i="3"/>
  <c r="M369" i="3"/>
  <c r="N369" i="3" s="1"/>
  <c r="L369" i="3" l="1"/>
  <c r="T370" i="3"/>
  <c r="U369" i="3" l="1"/>
  <c r="E370" i="3" s="1"/>
  <c r="H370" i="3" s="1"/>
  <c r="AG370" i="3"/>
  <c r="AH370" i="3"/>
  <c r="Y368" i="3"/>
  <c r="D370" i="3" l="1"/>
  <c r="F370" i="3" s="1"/>
  <c r="K370" i="3"/>
  <c r="AE370" i="3" s="1"/>
  <c r="G370" i="3" l="1"/>
  <c r="I370" i="3" s="1"/>
  <c r="V370" i="3"/>
  <c r="A371" i="3"/>
  <c r="B371" i="3" s="1"/>
  <c r="J370" i="3" l="1"/>
  <c r="L370" i="3" s="1"/>
  <c r="M370" i="3"/>
  <c r="N370" i="3" s="1"/>
  <c r="Z371" i="3"/>
  <c r="P371" i="3"/>
  <c r="Q371" i="3" s="1"/>
  <c r="R371" i="3" s="1"/>
  <c r="S371" i="3" s="1"/>
  <c r="AD371" i="3"/>
  <c r="AC371" i="3"/>
  <c r="AA371" i="3"/>
  <c r="W370" i="3"/>
  <c r="T371" i="3" l="1"/>
  <c r="AG371" i="3" s="1"/>
  <c r="U370" i="3"/>
  <c r="Y369" i="3"/>
  <c r="D371" i="3" l="1"/>
  <c r="G371" i="3" s="1"/>
  <c r="AH371" i="3"/>
  <c r="E371" i="3"/>
  <c r="H371" i="3" s="1"/>
  <c r="K371" i="3" l="1"/>
  <c r="AE371" i="3" s="1"/>
  <c r="I371" i="3"/>
  <c r="J371" i="3"/>
  <c r="M371" i="3"/>
  <c r="N371" i="3" s="1"/>
  <c r="F371" i="3"/>
  <c r="L371" i="3" l="1"/>
  <c r="V371" i="3"/>
  <c r="W371" i="3" s="1"/>
  <c r="A372" i="3"/>
  <c r="B372" i="3" s="1"/>
  <c r="AD372" i="3" l="1"/>
  <c r="P372" i="3"/>
  <c r="Q372" i="3" s="1"/>
  <c r="R372" i="3" s="1"/>
  <c r="S372" i="3" s="1"/>
  <c r="Z372" i="3"/>
  <c r="AA372" i="3"/>
  <c r="AC372" i="3"/>
  <c r="U371" i="3"/>
  <c r="Y370" i="3"/>
  <c r="T372" i="3" l="1"/>
  <c r="AH372" i="3" s="1"/>
  <c r="D372" i="3" l="1"/>
  <c r="G372" i="3" s="1"/>
  <c r="E372" i="3"/>
  <c r="H372" i="3" s="1"/>
  <c r="K372" i="3" s="1"/>
  <c r="AE372" i="3" s="1"/>
  <c r="AG372" i="3"/>
  <c r="F372" i="3" l="1"/>
  <c r="V372" i="3"/>
  <c r="A373" i="3"/>
  <c r="B373" i="3" s="1"/>
  <c r="I372" i="3"/>
  <c r="J372" i="3"/>
  <c r="M372" i="3"/>
  <c r="N372" i="3" s="1"/>
  <c r="L372" i="3" l="1"/>
  <c r="P373" i="3"/>
  <c r="Q373" i="3" s="1"/>
  <c r="R373" i="3" s="1"/>
  <c r="S373" i="3" s="1"/>
  <c r="AD373" i="3"/>
  <c r="AA373" i="3"/>
  <c r="Z373" i="3"/>
  <c r="AC373" i="3"/>
  <c r="W372" i="3"/>
  <c r="T373" i="3" l="1"/>
  <c r="AH373" i="3" s="1"/>
  <c r="U372" i="3"/>
  <c r="Y371" i="3"/>
  <c r="D373" i="3" l="1"/>
  <c r="G373" i="3" s="1"/>
  <c r="E373" i="3"/>
  <c r="H373" i="3" s="1"/>
  <c r="K373" i="3" s="1"/>
  <c r="AE373" i="3" s="1"/>
  <c r="AG373" i="3"/>
  <c r="F373" i="3" l="1"/>
  <c r="I373" i="3"/>
  <c r="J373" i="3"/>
  <c r="M373" i="3"/>
  <c r="N373" i="3" s="1"/>
  <c r="V373" i="3"/>
  <c r="A374" i="3"/>
  <c r="B374" i="3" s="1"/>
  <c r="W373" i="3" l="1"/>
  <c r="AC374" i="3"/>
  <c r="AA374" i="3"/>
  <c r="AD374" i="3"/>
  <c r="Z374" i="3"/>
  <c r="P374" i="3"/>
  <c r="Q374" i="3" s="1"/>
  <c r="R374" i="3" s="1"/>
  <c r="S374" i="3" s="1"/>
  <c r="L373" i="3"/>
  <c r="T374" i="3" l="1"/>
  <c r="AG374" i="3" s="1"/>
  <c r="U373" i="3"/>
  <c r="Y372" i="3"/>
  <c r="E374" i="3" l="1"/>
  <c r="H374" i="3" s="1"/>
  <c r="K374" i="3" s="1"/>
  <c r="AE374" i="3" s="1"/>
  <c r="AH374" i="3"/>
  <c r="D374" i="3"/>
  <c r="F374" i="3" l="1"/>
  <c r="G374" i="3"/>
  <c r="I374" i="3" s="1"/>
  <c r="V374" i="3"/>
  <c r="A375" i="3"/>
  <c r="B375" i="3" s="1"/>
  <c r="M374" i="3" l="1"/>
  <c r="N374" i="3" s="1"/>
  <c r="J374" i="3"/>
  <c r="L374" i="3" s="1"/>
  <c r="AD375" i="3"/>
  <c r="P375" i="3"/>
  <c r="Q375" i="3" s="1"/>
  <c r="R375" i="3" s="1"/>
  <c r="S375" i="3" s="1"/>
  <c r="AC375" i="3"/>
  <c r="Z375" i="3"/>
  <c r="AA375" i="3"/>
  <c r="W374" i="3"/>
  <c r="T375" i="3" l="1"/>
  <c r="AG375" i="3" s="1"/>
  <c r="U374" i="3"/>
  <c r="Y373" i="3"/>
  <c r="AH375" i="3" l="1"/>
  <c r="E375" i="3"/>
  <c r="H375" i="3" s="1"/>
  <c r="K375" i="3" s="1"/>
  <c r="AE375" i="3" s="1"/>
  <c r="D375" i="3"/>
  <c r="F375" i="3" l="1"/>
  <c r="G375" i="3"/>
  <c r="J375" i="3" s="1"/>
  <c r="V375" i="3"/>
  <c r="A376" i="3"/>
  <c r="B376" i="3" s="1"/>
  <c r="M375" i="3" l="1"/>
  <c r="N375" i="3" s="1"/>
  <c r="I375" i="3"/>
  <c r="W375" i="3" s="1"/>
  <c r="Z376" i="3"/>
  <c r="AD376" i="3"/>
  <c r="P376" i="3"/>
  <c r="Q376" i="3" s="1"/>
  <c r="R376" i="3" s="1"/>
  <c r="S376" i="3" s="1"/>
  <c r="AC376" i="3"/>
  <c r="AA376" i="3"/>
  <c r="L375" i="3"/>
  <c r="U375" i="3" l="1"/>
  <c r="Y374" i="3"/>
  <c r="T376" i="3"/>
  <c r="D376" i="3" l="1"/>
  <c r="G376" i="3" s="1"/>
  <c r="E376" i="3"/>
  <c r="H376" i="3" s="1"/>
  <c r="K376" i="3" s="1"/>
  <c r="AE376" i="3" s="1"/>
  <c r="AH376" i="3"/>
  <c r="AG376" i="3"/>
  <c r="F376" i="3" l="1"/>
  <c r="I376" i="3"/>
  <c r="J376" i="3"/>
  <c r="M376" i="3"/>
  <c r="N376" i="3" s="1"/>
  <c r="V376" i="3"/>
  <c r="A377" i="3"/>
  <c r="B377" i="3" s="1"/>
  <c r="W376" i="3" l="1"/>
  <c r="AD377" i="3"/>
  <c r="AC377" i="3"/>
  <c r="Z377" i="3"/>
  <c r="AA377" i="3"/>
  <c r="P377" i="3"/>
  <c r="Q377" i="3" s="1"/>
  <c r="R377" i="3" s="1"/>
  <c r="S377" i="3" s="1"/>
  <c r="L376" i="3"/>
  <c r="U376" i="3" l="1"/>
  <c r="Y375" i="3"/>
  <c r="T377" i="3"/>
  <c r="AG377" i="3" s="1"/>
  <c r="AH377" i="3" l="1"/>
  <c r="D377" i="3"/>
  <c r="G377" i="3" s="1"/>
  <c r="E377" i="3"/>
  <c r="H377" i="3" s="1"/>
  <c r="K377" i="3" s="1"/>
  <c r="AE377" i="3" s="1"/>
  <c r="F377" i="3" l="1"/>
  <c r="I377" i="3"/>
  <c r="J377" i="3"/>
  <c r="M377" i="3"/>
  <c r="N377" i="3" s="1"/>
  <c r="V377" i="3"/>
  <c r="A378" i="3"/>
  <c r="B378" i="3" s="1"/>
  <c r="W377" i="3" l="1"/>
  <c r="AC378" i="3"/>
  <c r="P378" i="3"/>
  <c r="Q378" i="3" s="1"/>
  <c r="R378" i="3" s="1"/>
  <c r="S378" i="3" s="1"/>
  <c r="AD378" i="3"/>
  <c r="Z378" i="3"/>
  <c r="AA378" i="3"/>
  <c r="L377" i="3"/>
  <c r="T378" i="3" l="1"/>
  <c r="AH378" i="3" s="1"/>
  <c r="U377" i="3"/>
  <c r="Y376" i="3"/>
  <c r="D378" i="3" l="1"/>
  <c r="AG378" i="3"/>
  <c r="E378" i="3"/>
  <c r="H378" i="3" s="1"/>
  <c r="K378" i="3" s="1"/>
  <c r="AE378" i="3" s="1"/>
  <c r="F378" i="3" l="1"/>
  <c r="G378" i="3"/>
  <c r="I378" i="3" s="1"/>
  <c r="V378" i="3"/>
  <c r="A379" i="3"/>
  <c r="B379" i="3" s="1"/>
  <c r="M378" i="3" l="1"/>
  <c r="N378" i="3" s="1"/>
  <c r="J378" i="3"/>
  <c r="L378" i="3" s="1"/>
  <c r="AD379" i="3"/>
  <c r="Z379" i="3"/>
  <c r="AC379" i="3"/>
  <c r="AA379" i="3"/>
  <c r="P379" i="3"/>
  <c r="Q379" i="3" s="1"/>
  <c r="R379" i="3" s="1"/>
  <c r="S379" i="3" s="1"/>
  <c r="W378" i="3"/>
  <c r="T379" i="3" l="1"/>
  <c r="AH379" i="3" s="1"/>
  <c r="U378" i="3"/>
  <c r="Y377" i="3"/>
  <c r="AG379" i="3" l="1"/>
  <c r="E379" i="3"/>
  <c r="H379" i="3" s="1"/>
  <c r="K379" i="3" s="1"/>
  <c r="AE379" i="3" s="1"/>
  <c r="D379" i="3"/>
  <c r="G379" i="3" s="1"/>
  <c r="F379" i="3" l="1"/>
  <c r="V379" i="3"/>
  <c r="A380" i="3"/>
  <c r="B380" i="3" s="1"/>
  <c r="I379" i="3"/>
  <c r="J379" i="3"/>
  <c r="M379" i="3"/>
  <c r="N379" i="3" s="1"/>
  <c r="AA380" i="3" l="1"/>
  <c r="Z380" i="3"/>
  <c r="P380" i="3"/>
  <c r="Q380" i="3" s="1"/>
  <c r="R380" i="3" s="1"/>
  <c r="S380" i="3" s="1"/>
  <c r="AC380" i="3"/>
  <c r="AD380" i="3"/>
  <c r="L379" i="3"/>
  <c r="W379" i="3"/>
  <c r="T380" i="3" l="1"/>
  <c r="AH380" i="3" s="1"/>
  <c r="U379" i="3"/>
  <c r="Y378" i="3"/>
  <c r="AG380" i="3" l="1"/>
  <c r="D380" i="3"/>
  <c r="G380" i="3" s="1"/>
  <c r="E380" i="3"/>
  <c r="H380" i="3" s="1"/>
  <c r="K380" i="3" l="1"/>
  <c r="AE380" i="3" s="1"/>
  <c r="I380" i="3"/>
  <c r="J380" i="3"/>
  <c r="M380" i="3"/>
  <c r="N380" i="3" s="1"/>
  <c r="F380" i="3"/>
  <c r="L380" i="3" l="1"/>
  <c r="V380" i="3"/>
  <c r="W380" i="3" s="1"/>
  <c r="A381" i="3"/>
  <c r="B381" i="3" s="1"/>
  <c r="AC381" i="3" l="1"/>
  <c r="P381" i="3"/>
  <c r="Q381" i="3" s="1"/>
  <c r="R381" i="3" s="1"/>
  <c r="S381" i="3" s="1"/>
  <c r="AA381" i="3"/>
  <c r="AD381" i="3"/>
  <c r="Z381" i="3"/>
  <c r="U380" i="3"/>
  <c r="Y379" i="3"/>
  <c r="T381" i="3" l="1"/>
  <c r="AH381" i="3" s="1"/>
  <c r="AG381" i="3" l="1"/>
  <c r="D381" i="3"/>
  <c r="G381" i="3" s="1"/>
  <c r="E381" i="3"/>
  <c r="H381" i="3" s="1"/>
  <c r="K381" i="3" l="1"/>
  <c r="AE381" i="3" s="1"/>
  <c r="I381" i="3"/>
  <c r="J381" i="3"/>
  <c r="M381" i="3"/>
  <c r="N381" i="3" s="1"/>
  <c r="F381" i="3"/>
  <c r="L381" i="3" l="1"/>
  <c r="V381" i="3"/>
  <c r="W381" i="3" s="1"/>
  <c r="A382" i="3"/>
  <c r="B382" i="3" s="1"/>
  <c r="AD382" i="3" l="1"/>
  <c r="Z382" i="3"/>
  <c r="AC382" i="3"/>
  <c r="P382" i="3"/>
  <c r="Q382" i="3" s="1"/>
  <c r="R382" i="3" s="1"/>
  <c r="S382" i="3" s="1"/>
  <c r="AA382" i="3"/>
  <c r="U381" i="3"/>
  <c r="Y380" i="3"/>
  <c r="T382" i="3" l="1"/>
  <c r="D382" i="3" s="1"/>
  <c r="E382" i="3" l="1"/>
  <c r="H382" i="3" s="1"/>
  <c r="K382" i="3" s="1"/>
  <c r="AE382" i="3" s="1"/>
  <c r="AH382" i="3"/>
  <c r="AG382" i="3"/>
  <c r="G382" i="3"/>
  <c r="F382" i="3" l="1"/>
  <c r="V382" i="3"/>
  <c r="A383" i="3"/>
  <c r="B383" i="3" s="1"/>
  <c r="I382" i="3"/>
  <c r="J382" i="3"/>
  <c r="M382" i="3"/>
  <c r="N382" i="3" s="1"/>
  <c r="Z383" i="3" l="1"/>
  <c r="AD383" i="3"/>
  <c r="AA383" i="3"/>
  <c r="AC383" i="3"/>
  <c r="P383" i="3"/>
  <c r="Q383" i="3" s="1"/>
  <c r="R383" i="3" s="1"/>
  <c r="S383" i="3" s="1"/>
  <c r="L382" i="3"/>
  <c r="W382" i="3"/>
  <c r="T383" i="3" l="1"/>
  <c r="AH383" i="3" s="1"/>
  <c r="U382" i="3"/>
  <c r="Y381" i="3"/>
  <c r="AG383" i="3" l="1"/>
  <c r="E383" i="3"/>
  <c r="H383" i="3" s="1"/>
  <c r="K383" i="3" s="1"/>
  <c r="AE383" i="3" s="1"/>
  <c r="D383" i="3"/>
  <c r="G383" i="3" s="1"/>
  <c r="F383" i="3" l="1"/>
  <c r="I383" i="3"/>
  <c r="J383" i="3"/>
  <c r="M383" i="3"/>
  <c r="N383" i="3" s="1"/>
  <c r="V383" i="3"/>
  <c r="A384" i="3"/>
  <c r="B384" i="3" s="1"/>
  <c r="W383" i="3" l="1"/>
  <c r="P384" i="3"/>
  <c r="Q384" i="3" s="1"/>
  <c r="R384" i="3" s="1"/>
  <c r="S384" i="3" s="1"/>
  <c r="Z384" i="3"/>
  <c r="AD384" i="3"/>
  <c r="AC384" i="3"/>
  <c r="AA384" i="3"/>
  <c r="L383" i="3"/>
  <c r="T384" i="3" l="1"/>
  <c r="AG384" i="3" s="1"/>
  <c r="U383" i="3"/>
  <c r="Y382" i="3"/>
  <c r="D384" i="3" l="1"/>
  <c r="G384" i="3" s="1"/>
  <c r="AH384" i="3"/>
  <c r="E384" i="3"/>
  <c r="H384" i="3" s="1"/>
  <c r="K384" i="3" s="1"/>
  <c r="AE384" i="3" s="1"/>
  <c r="F384" i="3" l="1"/>
  <c r="V384" i="3"/>
  <c r="A385" i="3"/>
  <c r="B385" i="3" s="1"/>
  <c r="I384" i="3"/>
  <c r="J384" i="3"/>
  <c r="M384" i="3"/>
  <c r="N384" i="3" s="1"/>
  <c r="AD385" i="3" l="1"/>
  <c r="AC385" i="3"/>
  <c r="Z385" i="3"/>
  <c r="AA385" i="3"/>
  <c r="P385" i="3"/>
  <c r="Q385" i="3" s="1"/>
  <c r="R385" i="3" s="1"/>
  <c r="S385" i="3" s="1"/>
  <c r="L384" i="3"/>
  <c r="W384" i="3"/>
  <c r="U384" i="3" l="1"/>
  <c r="Y383" i="3"/>
  <c r="T385" i="3"/>
  <c r="D385" i="3" l="1"/>
  <c r="G385" i="3" s="1"/>
  <c r="E385" i="3"/>
  <c r="H385" i="3" s="1"/>
  <c r="K385" i="3" s="1"/>
  <c r="AE385" i="3" s="1"/>
  <c r="AG385" i="3"/>
  <c r="AH385" i="3"/>
  <c r="F385" i="3" l="1"/>
  <c r="V385" i="3"/>
  <c r="A386" i="3"/>
  <c r="B386" i="3" s="1"/>
  <c r="I385" i="3"/>
  <c r="J385" i="3"/>
  <c r="M385" i="3"/>
  <c r="N385" i="3" s="1"/>
  <c r="L385" i="3" l="1"/>
  <c r="AC386" i="3"/>
  <c r="P386" i="3"/>
  <c r="Q386" i="3" s="1"/>
  <c r="R386" i="3" s="1"/>
  <c r="S386" i="3" s="1"/>
  <c r="Z386" i="3"/>
  <c r="AA386" i="3"/>
  <c r="AD386" i="3"/>
  <c r="W385" i="3"/>
  <c r="T386" i="3" l="1"/>
  <c r="AG386" i="3" s="1"/>
  <c r="U385" i="3"/>
  <c r="Y384" i="3"/>
  <c r="AH386" i="3" l="1"/>
  <c r="E386" i="3"/>
  <c r="H386" i="3" s="1"/>
  <c r="K386" i="3" s="1"/>
  <c r="AE386" i="3" s="1"/>
  <c r="D386" i="3"/>
  <c r="F386" i="3" l="1"/>
  <c r="G386" i="3"/>
  <c r="I386" i="3" s="1"/>
  <c r="V386" i="3"/>
  <c r="A387" i="3"/>
  <c r="B387" i="3" s="1"/>
  <c r="M386" i="3" l="1"/>
  <c r="N386" i="3" s="1"/>
  <c r="J386" i="3"/>
  <c r="L386" i="3" s="1"/>
  <c r="W386" i="3"/>
  <c r="AC387" i="3"/>
  <c r="AA387" i="3"/>
  <c r="Z387" i="3"/>
  <c r="AD387" i="3"/>
  <c r="P387" i="3"/>
  <c r="Q387" i="3" s="1"/>
  <c r="R387" i="3" s="1"/>
  <c r="S387" i="3" s="1"/>
  <c r="T387" i="3" l="1"/>
  <c r="AH387" i="3" s="1"/>
  <c r="U386" i="3"/>
  <c r="Y385" i="3"/>
  <c r="D387" i="3" l="1"/>
  <c r="G387" i="3" s="1"/>
  <c r="AG387" i="3"/>
  <c r="E387" i="3"/>
  <c r="H387" i="3" s="1"/>
  <c r="K387" i="3" s="1"/>
  <c r="AE387" i="3" s="1"/>
  <c r="F387" i="3" l="1"/>
  <c r="I387" i="3"/>
  <c r="J387" i="3"/>
  <c r="M387" i="3"/>
  <c r="N387" i="3" s="1"/>
  <c r="V387" i="3"/>
  <c r="A388" i="3"/>
  <c r="B388" i="3" s="1"/>
  <c r="W387" i="3" l="1"/>
  <c r="AA388" i="3"/>
  <c r="Z388" i="3"/>
  <c r="P388" i="3"/>
  <c r="Q388" i="3" s="1"/>
  <c r="R388" i="3" s="1"/>
  <c r="S388" i="3" s="1"/>
  <c r="AC388" i="3"/>
  <c r="AD388" i="3"/>
  <c r="L387" i="3"/>
  <c r="T388" i="3" l="1"/>
  <c r="AH388" i="3" s="1"/>
  <c r="U387" i="3"/>
  <c r="Y386" i="3"/>
  <c r="AG388" i="3" l="1"/>
  <c r="E388" i="3"/>
  <c r="H388" i="3" s="1"/>
  <c r="K388" i="3" s="1"/>
  <c r="AE388" i="3" s="1"/>
  <c r="D388" i="3"/>
  <c r="G388" i="3" s="1"/>
  <c r="F388" i="3" l="1"/>
  <c r="I388" i="3"/>
  <c r="J388" i="3"/>
  <c r="M388" i="3"/>
  <c r="N388" i="3" s="1"/>
  <c r="V388" i="3"/>
  <c r="A389" i="3"/>
  <c r="B389" i="3" s="1"/>
  <c r="W388" i="3" l="1"/>
  <c r="AA389" i="3"/>
  <c r="AD389" i="3"/>
  <c r="AC389" i="3"/>
  <c r="Z389" i="3"/>
  <c r="P389" i="3"/>
  <c r="Q389" i="3" s="1"/>
  <c r="R389" i="3" s="1"/>
  <c r="S389" i="3" s="1"/>
  <c r="L388" i="3"/>
  <c r="T389" i="3" l="1"/>
  <c r="AH389" i="3" s="1"/>
  <c r="U388" i="3"/>
  <c r="Y387" i="3"/>
  <c r="AG389" i="3" l="1"/>
  <c r="E389" i="3"/>
  <c r="H389" i="3" s="1"/>
  <c r="K389" i="3" s="1"/>
  <c r="AE389" i="3" s="1"/>
  <c r="D389" i="3"/>
  <c r="F389" i="3" l="1"/>
  <c r="G389" i="3"/>
  <c r="I389" i="3" s="1"/>
  <c r="V389" i="3"/>
  <c r="A390" i="3"/>
  <c r="B390" i="3" s="1"/>
  <c r="M389" i="3" l="1"/>
  <c r="N389" i="3" s="1"/>
  <c r="J389" i="3"/>
  <c r="L389" i="3" s="1"/>
  <c r="W389" i="3"/>
  <c r="P390" i="3"/>
  <c r="Q390" i="3" s="1"/>
  <c r="R390" i="3" s="1"/>
  <c r="S390" i="3" s="1"/>
  <c r="AC390" i="3"/>
  <c r="Z390" i="3"/>
  <c r="AA390" i="3"/>
  <c r="AD390" i="3"/>
  <c r="T390" i="3" l="1"/>
  <c r="AG390" i="3" s="1"/>
  <c r="U389" i="3"/>
  <c r="Y388" i="3"/>
  <c r="D390" i="3" l="1"/>
  <c r="G390" i="3" s="1"/>
  <c r="AH390" i="3"/>
  <c r="E390" i="3"/>
  <c r="H390" i="3" s="1"/>
  <c r="K390" i="3" l="1"/>
  <c r="AE390" i="3" s="1"/>
  <c r="I390" i="3"/>
  <c r="J390" i="3"/>
  <c r="M390" i="3"/>
  <c r="N390" i="3" s="1"/>
  <c r="F390" i="3"/>
  <c r="L390" i="3" l="1"/>
  <c r="V390" i="3"/>
  <c r="W390" i="3" s="1"/>
  <c r="A391" i="3"/>
  <c r="B391" i="3" s="1"/>
  <c r="Z391" i="3" l="1"/>
  <c r="AC391" i="3"/>
  <c r="AA391" i="3"/>
  <c r="AD391" i="3"/>
  <c r="P391" i="3"/>
  <c r="Q391" i="3" s="1"/>
  <c r="R391" i="3" s="1"/>
  <c r="S391" i="3" s="1"/>
  <c r="U390" i="3"/>
  <c r="Y389" i="3"/>
  <c r="T391" i="3" l="1"/>
  <c r="E391" i="3" s="1"/>
  <c r="H391" i="3" s="1"/>
  <c r="AG391" i="3" l="1"/>
  <c r="AH391" i="3"/>
  <c r="D391" i="3"/>
  <c r="G391" i="3" s="1"/>
  <c r="K391" i="3"/>
  <c r="AE391" i="3" s="1"/>
  <c r="F391" i="3" l="1"/>
  <c r="I391" i="3"/>
  <c r="J391" i="3"/>
  <c r="M391" i="3"/>
  <c r="N391" i="3" s="1"/>
  <c r="V391" i="3"/>
  <c r="A392" i="3"/>
  <c r="B392" i="3" s="1"/>
  <c r="W391" i="3" l="1"/>
  <c r="P392" i="3"/>
  <c r="Q392" i="3" s="1"/>
  <c r="R392" i="3" s="1"/>
  <c r="S392" i="3" s="1"/>
  <c r="AD392" i="3"/>
  <c r="Z392" i="3"/>
  <c r="AA392" i="3"/>
  <c r="AC392" i="3"/>
  <c r="L391" i="3"/>
  <c r="T392" i="3" l="1"/>
  <c r="U391" i="3"/>
  <c r="Y390" i="3"/>
  <c r="D392" i="3" l="1"/>
  <c r="G392" i="3" s="1"/>
  <c r="E392" i="3"/>
  <c r="H392" i="3" s="1"/>
  <c r="K392" i="3" s="1"/>
  <c r="AE392" i="3" s="1"/>
  <c r="AH392" i="3"/>
  <c r="AG392" i="3"/>
  <c r="F392" i="3" l="1"/>
  <c r="V392" i="3"/>
  <c r="A393" i="3"/>
  <c r="B393" i="3" s="1"/>
  <c r="I392" i="3"/>
  <c r="J392" i="3"/>
  <c r="M392" i="3"/>
  <c r="N392" i="3" s="1"/>
  <c r="AC393" i="3" l="1"/>
  <c r="AD393" i="3"/>
  <c r="Z393" i="3"/>
  <c r="AA393" i="3"/>
  <c r="P393" i="3"/>
  <c r="Q393" i="3" s="1"/>
  <c r="R393" i="3" s="1"/>
  <c r="S393" i="3" s="1"/>
  <c r="L392" i="3"/>
  <c r="W392" i="3"/>
  <c r="U392" i="3" l="1"/>
  <c r="Y391" i="3"/>
  <c r="T393" i="3"/>
  <c r="E393" i="3" l="1"/>
  <c r="H393" i="3" s="1"/>
  <c r="K393" i="3" s="1"/>
  <c r="AE393" i="3" s="1"/>
  <c r="D393" i="3"/>
  <c r="AG393" i="3"/>
  <c r="AH393" i="3"/>
  <c r="F393" i="3" l="1"/>
  <c r="G393" i="3"/>
  <c r="I393" i="3" s="1"/>
  <c r="V393" i="3"/>
  <c r="A394" i="3"/>
  <c r="B394" i="3" s="1"/>
  <c r="M393" i="3" l="1"/>
  <c r="N393" i="3" s="1"/>
  <c r="J393" i="3"/>
  <c r="L393" i="3" s="1"/>
  <c r="W393" i="3"/>
  <c r="Z394" i="3"/>
  <c r="AA394" i="3"/>
  <c r="AD394" i="3"/>
  <c r="P394" i="3"/>
  <c r="Q394" i="3" s="1"/>
  <c r="R394" i="3" s="1"/>
  <c r="S394" i="3" s="1"/>
  <c r="AC394" i="3"/>
  <c r="T394" i="3" l="1"/>
  <c r="AG394" i="3" s="1"/>
  <c r="U393" i="3"/>
  <c r="Y392" i="3"/>
  <c r="D394" i="3" l="1"/>
  <c r="G394" i="3" s="1"/>
  <c r="AH394" i="3"/>
  <c r="E394" i="3"/>
  <c r="H394" i="3" s="1"/>
  <c r="K394" i="3" s="1"/>
  <c r="AE394" i="3" s="1"/>
  <c r="F394" i="3" l="1"/>
  <c r="V394" i="3"/>
  <c r="A395" i="3"/>
  <c r="B395" i="3" s="1"/>
  <c r="I394" i="3"/>
  <c r="J394" i="3"/>
  <c r="M394" i="3"/>
  <c r="N394" i="3" s="1"/>
  <c r="L394" i="3" l="1"/>
  <c r="Z395" i="3"/>
  <c r="AC395" i="3"/>
  <c r="AD395" i="3"/>
  <c r="P395" i="3"/>
  <c r="Q395" i="3" s="1"/>
  <c r="R395" i="3" s="1"/>
  <c r="S395" i="3" s="1"/>
  <c r="AA395" i="3"/>
  <c r="W394" i="3"/>
  <c r="U394" i="3" l="1"/>
  <c r="Y393" i="3"/>
  <c r="T395" i="3"/>
  <c r="D395" i="3" l="1"/>
  <c r="G395" i="3" s="1"/>
  <c r="E395" i="3"/>
  <c r="H395" i="3" s="1"/>
  <c r="K395" i="3" s="1"/>
  <c r="AE395" i="3" s="1"/>
  <c r="AG395" i="3"/>
  <c r="AH395" i="3"/>
  <c r="F395" i="3" l="1"/>
  <c r="V395" i="3"/>
  <c r="A396" i="3"/>
  <c r="B396" i="3" s="1"/>
  <c r="I395" i="3"/>
  <c r="J395" i="3"/>
  <c r="M395" i="3"/>
  <c r="N395" i="3" s="1"/>
  <c r="L395" i="3" l="1"/>
  <c r="AD396" i="3"/>
  <c r="AC396" i="3"/>
  <c r="AA396" i="3"/>
  <c r="P396" i="3"/>
  <c r="Q396" i="3" s="1"/>
  <c r="R396" i="3" s="1"/>
  <c r="S396" i="3" s="1"/>
  <c r="Z396" i="3"/>
  <c r="W395" i="3"/>
  <c r="T396" i="3" l="1"/>
  <c r="AG396" i="3" s="1"/>
  <c r="U395" i="3"/>
  <c r="Y394" i="3"/>
  <c r="AH396" i="3" l="1"/>
  <c r="D396" i="3"/>
  <c r="G396" i="3" s="1"/>
  <c r="E396" i="3"/>
  <c r="H396" i="3" s="1"/>
  <c r="K396" i="3" s="1"/>
  <c r="AE396" i="3" s="1"/>
  <c r="F396" i="3" l="1"/>
  <c r="I396" i="3"/>
  <c r="J396" i="3"/>
  <c r="M396" i="3"/>
  <c r="N396" i="3" s="1"/>
  <c r="V396" i="3"/>
  <c r="A397" i="3"/>
  <c r="B397" i="3" s="1"/>
  <c r="W396" i="3" l="1"/>
  <c r="Z397" i="3"/>
  <c r="AD397" i="3"/>
  <c r="P397" i="3"/>
  <c r="Q397" i="3" s="1"/>
  <c r="R397" i="3" s="1"/>
  <c r="S397" i="3" s="1"/>
  <c r="AA397" i="3"/>
  <c r="AC397" i="3"/>
  <c r="L396" i="3"/>
  <c r="T397" i="3" l="1"/>
  <c r="AH397" i="3" s="1"/>
  <c r="U396" i="3"/>
  <c r="Y395" i="3"/>
  <c r="E397" i="3" l="1"/>
  <c r="H397" i="3" s="1"/>
  <c r="K397" i="3" s="1"/>
  <c r="AE397" i="3" s="1"/>
  <c r="AG397" i="3"/>
  <c r="D397" i="3"/>
  <c r="F397" i="3" l="1"/>
  <c r="G397" i="3"/>
  <c r="I397" i="3" s="1"/>
  <c r="V397" i="3"/>
  <c r="A398" i="3"/>
  <c r="B398" i="3" s="1"/>
  <c r="M397" i="3" l="1"/>
  <c r="N397" i="3" s="1"/>
  <c r="J397" i="3"/>
  <c r="L397" i="3" s="1"/>
  <c r="W397" i="3"/>
  <c r="Z398" i="3"/>
  <c r="AC398" i="3"/>
  <c r="AA398" i="3"/>
  <c r="AD398" i="3"/>
  <c r="P398" i="3"/>
  <c r="Q398" i="3" s="1"/>
  <c r="R398" i="3" s="1"/>
  <c r="S398" i="3" s="1"/>
  <c r="T398" i="3" l="1"/>
  <c r="AH398" i="3" s="1"/>
  <c r="U397" i="3"/>
  <c r="Y396" i="3"/>
  <c r="D398" i="3" l="1"/>
  <c r="G398" i="3" s="1"/>
  <c r="AG398" i="3"/>
  <c r="E398" i="3"/>
  <c r="H398" i="3" s="1"/>
  <c r="K398" i="3" l="1"/>
  <c r="AE398" i="3" s="1"/>
  <c r="I398" i="3"/>
  <c r="J398" i="3"/>
  <c r="M398" i="3"/>
  <c r="N398" i="3" s="1"/>
  <c r="F398" i="3"/>
  <c r="L398" i="3" l="1"/>
  <c r="V398" i="3"/>
  <c r="W398" i="3" s="1"/>
  <c r="A399" i="3"/>
  <c r="B399" i="3" s="1"/>
  <c r="AA399" i="3" l="1"/>
  <c r="AC399" i="3"/>
  <c r="Z399" i="3"/>
  <c r="AD399" i="3"/>
  <c r="P399" i="3"/>
  <c r="Q399" i="3" s="1"/>
  <c r="R399" i="3" s="1"/>
  <c r="S399" i="3" s="1"/>
  <c r="U398" i="3"/>
  <c r="Y397" i="3"/>
  <c r="T399" i="3" l="1"/>
  <c r="AH399" i="3" s="1"/>
  <c r="D399" i="3" l="1"/>
  <c r="G399" i="3" s="1"/>
  <c r="AG399" i="3"/>
  <c r="E399" i="3"/>
  <c r="H399" i="3" s="1"/>
  <c r="K399" i="3" l="1"/>
  <c r="AE399" i="3" s="1"/>
  <c r="I399" i="3"/>
  <c r="J399" i="3"/>
  <c r="M399" i="3"/>
  <c r="N399" i="3" s="1"/>
  <c r="F399" i="3"/>
  <c r="L399" i="3" l="1"/>
  <c r="V399" i="3"/>
  <c r="W399" i="3" s="1"/>
  <c r="A400" i="3"/>
  <c r="B400" i="3" s="1"/>
  <c r="P400" i="3" l="1"/>
  <c r="Q400" i="3" s="1"/>
  <c r="R400" i="3" s="1"/>
  <c r="S400" i="3" s="1"/>
  <c r="AA400" i="3"/>
  <c r="AD400" i="3"/>
  <c r="AC400" i="3"/>
  <c r="Z400" i="3"/>
  <c r="U399" i="3"/>
  <c r="Y398" i="3"/>
  <c r="T400" i="3" l="1"/>
  <c r="E400" i="3" s="1"/>
  <c r="H400" i="3" s="1"/>
  <c r="K400" i="3" l="1"/>
  <c r="AE400" i="3" s="1"/>
  <c r="AG400" i="3"/>
  <c r="AH400" i="3"/>
  <c r="D400" i="3"/>
  <c r="F400" i="3" l="1"/>
  <c r="G400" i="3"/>
  <c r="V400" i="3"/>
  <c r="A401" i="3"/>
  <c r="B401" i="3" s="1"/>
  <c r="AA401" i="3" l="1"/>
  <c r="Z401" i="3"/>
  <c r="AC401" i="3"/>
  <c r="AD401" i="3"/>
  <c r="P401" i="3"/>
  <c r="Q401" i="3" s="1"/>
  <c r="R401" i="3" s="1"/>
  <c r="S401" i="3" s="1"/>
  <c r="I400" i="3"/>
  <c r="W400" i="3" s="1"/>
  <c r="J400" i="3"/>
  <c r="M400" i="3"/>
  <c r="N400" i="3" s="1"/>
  <c r="T401" i="3" l="1"/>
  <c r="L400" i="3"/>
  <c r="AH401" i="3" l="1"/>
  <c r="AG401" i="3"/>
  <c r="U400" i="3"/>
  <c r="E401" i="3" s="1"/>
  <c r="H401" i="3" s="1"/>
  <c r="Y399" i="3"/>
  <c r="D401" i="3" l="1"/>
  <c r="F401" i="3" s="1"/>
  <c r="K401" i="3"/>
  <c r="AE401" i="3" s="1"/>
  <c r="G401" i="3" l="1"/>
  <c r="I401" i="3" s="1"/>
  <c r="V401" i="3"/>
  <c r="A402" i="3"/>
  <c r="B402" i="3" s="1"/>
  <c r="M401" i="3" l="1"/>
  <c r="N401" i="3" s="1"/>
  <c r="J401" i="3"/>
  <c r="L401" i="3" s="1"/>
  <c r="W401" i="3"/>
  <c r="AA402" i="3"/>
  <c r="AC402" i="3"/>
  <c r="Z402" i="3"/>
  <c r="AD402" i="3"/>
  <c r="P402" i="3"/>
  <c r="Q402" i="3" s="1"/>
  <c r="R402" i="3" s="1"/>
  <c r="S402" i="3" s="1"/>
  <c r="T402" i="3" l="1"/>
  <c r="AG402" i="3" s="1"/>
  <c r="U401" i="3"/>
  <c r="Y400" i="3"/>
  <c r="AH402" i="3" l="1"/>
  <c r="D402" i="3"/>
  <c r="G402" i="3" s="1"/>
  <c r="E402" i="3"/>
  <c r="H402" i="3" s="1"/>
  <c r="K402" i="3" s="1"/>
  <c r="AE402" i="3" s="1"/>
  <c r="F402" i="3" l="1"/>
  <c r="I402" i="3"/>
  <c r="J402" i="3"/>
  <c r="M402" i="3"/>
  <c r="N402" i="3" s="1"/>
  <c r="V402" i="3"/>
  <c r="A403" i="3"/>
  <c r="B403" i="3" s="1"/>
  <c r="W402" i="3" l="1"/>
  <c r="Z403" i="3"/>
  <c r="AD403" i="3"/>
  <c r="AC403" i="3"/>
  <c r="AA403" i="3"/>
  <c r="P403" i="3"/>
  <c r="Q403" i="3" s="1"/>
  <c r="R403" i="3" s="1"/>
  <c r="S403" i="3" s="1"/>
  <c r="L402" i="3"/>
  <c r="T403" i="3" l="1"/>
  <c r="AH403" i="3" s="1"/>
  <c r="U402" i="3"/>
  <c r="Y401" i="3"/>
  <c r="AG403" i="3" l="1"/>
  <c r="D403" i="3"/>
  <c r="G403" i="3" s="1"/>
  <c r="E403" i="3"/>
  <c r="H403" i="3" s="1"/>
  <c r="K403" i="3" s="1"/>
  <c r="AE403" i="3" s="1"/>
  <c r="F403" i="3" l="1"/>
  <c r="V403" i="3"/>
  <c r="A404" i="3"/>
  <c r="B404" i="3" s="1"/>
  <c r="I403" i="3"/>
  <c r="J403" i="3"/>
  <c r="M403" i="3"/>
  <c r="N403" i="3" s="1"/>
  <c r="L403" i="3" l="1"/>
  <c r="AA404" i="3"/>
  <c r="Z404" i="3"/>
  <c r="AC404" i="3"/>
  <c r="P404" i="3"/>
  <c r="Q404" i="3" s="1"/>
  <c r="R404" i="3" s="1"/>
  <c r="S404" i="3" s="1"/>
  <c r="W403" i="3"/>
  <c r="U403" i="3" l="1"/>
  <c r="Y402" i="3"/>
  <c r="T404" i="3"/>
  <c r="E404" i="3" l="1"/>
  <c r="H404" i="3" s="1"/>
  <c r="K404" i="3" s="1"/>
  <c r="AE404" i="3" s="1"/>
  <c r="AG404" i="3"/>
  <c r="D404" i="3"/>
  <c r="G404" i="3" s="1"/>
  <c r="AH404" i="3"/>
  <c r="F404" i="3" l="1"/>
  <c r="I404" i="3"/>
  <c r="J404" i="3"/>
  <c r="AD404" i="3" s="1"/>
  <c r="M404" i="3"/>
  <c r="N404" i="3" s="1"/>
  <c r="V404" i="3"/>
  <c r="W404" i="3" s="1"/>
  <c r="A405" i="3"/>
  <c r="B405" i="3" s="1"/>
  <c r="AA405" i="3" l="1"/>
  <c r="AD405" i="3"/>
  <c r="P405" i="3"/>
  <c r="Q405" i="3" s="1"/>
  <c r="R405" i="3" s="1"/>
  <c r="S405" i="3" s="1"/>
  <c r="Z405" i="3"/>
  <c r="AC405" i="3"/>
  <c r="L404" i="3"/>
  <c r="T405" i="3" l="1"/>
  <c r="AH405" i="3" s="1"/>
  <c r="U404" i="3"/>
  <c r="Y403" i="3"/>
  <c r="E405" i="3" l="1"/>
  <c r="H405" i="3" s="1"/>
  <c r="K405" i="3" s="1"/>
  <c r="AE405" i="3" s="1"/>
  <c r="D405" i="3"/>
  <c r="G405" i="3" s="1"/>
  <c r="AG405" i="3"/>
  <c r="F405" i="3" l="1"/>
  <c r="V405" i="3"/>
  <c r="A406" i="3"/>
  <c r="B406" i="3" s="1"/>
  <c r="I405" i="3"/>
  <c r="J405" i="3"/>
  <c r="M405" i="3"/>
  <c r="N405" i="3" s="1"/>
  <c r="L405" i="3" l="1"/>
  <c r="Z406" i="3"/>
  <c r="AC406" i="3"/>
  <c r="AD406" i="3"/>
  <c r="AA406" i="3"/>
  <c r="P406" i="3"/>
  <c r="Q406" i="3" s="1"/>
  <c r="R406" i="3" s="1"/>
  <c r="S406" i="3" s="1"/>
  <c r="W405" i="3"/>
  <c r="T406" i="3" l="1"/>
  <c r="AH406" i="3" s="1"/>
  <c r="U405" i="3"/>
  <c r="Y404" i="3"/>
  <c r="AG406" i="3" l="1"/>
  <c r="D406" i="3"/>
  <c r="G406" i="3" s="1"/>
  <c r="E406" i="3"/>
  <c r="H406" i="3" s="1"/>
  <c r="K406" i="3" s="1"/>
  <c r="AE406" i="3" s="1"/>
  <c r="F406" i="3" l="1"/>
  <c r="V406" i="3"/>
  <c r="A407" i="3"/>
  <c r="B407" i="3" s="1"/>
  <c r="I406" i="3"/>
  <c r="J406" i="3"/>
  <c r="M406" i="3"/>
  <c r="N406" i="3" s="1"/>
  <c r="AC407" i="3" l="1"/>
  <c r="Z407" i="3"/>
  <c r="P407" i="3"/>
  <c r="Q407" i="3" s="1"/>
  <c r="R407" i="3" s="1"/>
  <c r="S407" i="3" s="1"/>
  <c r="AA407" i="3"/>
  <c r="AD407" i="3"/>
  <c r="L406" i="3"/>
  <c r="W406" i="3"/>
  <c r="T407" i="3" l="1"/>
  <c r="AH407" i="3" s="1"/>
  <c r="U406" i="3"/>
  <c r="Y405" i="3"/>
  <c r="E407" i="3" l="1"/>
  <c r="H407" i="3" s="1"/>
  <c r="K407" i="3" s="1"/>
  <c r="AE407" i="3" s="1"/>
  <c r="AG407" i="3"/>
  <c r="D407" i="3"/>
  <c r="F407" i="3" l="1"/>
  <c r="G407" i="3"/>
  <c r="I407" i="3" s="1"/>
  <c r="V407" i="3"/>
  <c r="A408" i="3"/>
  <c r="B408" i="3" s="1"/>
  <c r="M407" i="3" l="1"/>
  <c r="N407" i="3" s="1"/>
  <c r="J407" i="3"/>
  <c r="L407" i="3" s="1"/>
  <c r="W407" i="3"/>
  <c r="P408" i="3"/>
  <c r="Q408" i="3" s="1"/>
  <c r="R408" i="3" s="1"/>
  <c r="S408" i="3" s="1"/>
  <c r="AD408" i="3"/>
  <c r="Z408" i="3"/>
  <c r="AA408" i="3"/>
  <c r="AC408" i="3"/>
  <c r="T408" i="3" l="1"/>
  <c r="AG408" i="3" s="1"/>
  <c r="U407" i="3"/>
  <c r="Y406" i="3"/>
  <c r="AH408" i="3" l="1"/>
  <c r="E408" i="3"/>
  <c r="H408" i="3" s="1"/>
  <c r="K408" i="3" s="1"/>
  <c r="AE408" i="3" s="1"/>
  <c r="D408" i="3"/>
  <c r="F408" i="3" l="1"/>
  <c r="G408" i="3"/>
  <c r="V408" i="3"/>
  <c r="A409" i="3"/>
  <c r="B409" i="3" s="1"/>
  <c r="P409" i="3" l="1"/>
  <c r="Q409" i="3" s="1"/>
  <c r="R409" i="3" s="1"/>
  <c r="S409" i="3" s="1"/>
  <c r="AA409" i="3"/>
  <c r="Z409" i="3"/>
  <c r="AD409" i="3"/>
  <c r="AC409" i="3"/>
  <c r="I408" i="3"/>
  <c r="W408" i="3" s="1"/>
  <c r="J408" i="3"/>
  <c r="M408" i="3"/>
  <c r="N408" i="3" s="1"/>
  <c r="L408" i="3" l="1"/>
  <c r="T409" i="3"/>
  <c r="AH409" i="3" l="1"/>
  <c r="U408" i="3"/>
  <c r="E409" i="3" s="1"/>
  <c r="H409" i="3" s="1"/>
  <c r="AG409" i="3"/>
  <c r="Y407" i="3"/>
  <c r="D409" i="3" l="1"/>
  <c r="G409" i="3" s="1"/>
  <c r="K409" i="3"/>
  <c r="AE409" i="3" s="1"/>
  <c r="F409" i="3" l="1"/>
  <c r="I409" i="3"/>
  <c r="J409" i="3"/>
  <c r="M409" i="3"/>
  <c r="N409" i="3" s="1"/>
  <c r="V409" i="3"/>
  <c r="A410" i="3"/>
  <c r="B410" i="3" s="1"/>
  <c r="W409" i="3" l="1"/>
  <c r="AA410" i="3"/>
  <c r="AC410" i="3"/>
  <c r="Z410" i="3"/>
  <c r="AD410" i="3"/>
  <c r="P410" i="3"/>
  <c r="Q410" i="3" s="1"/>
  <c r="R410" i="3" s="1"/>
  <c r="S410" i="3" s="1"/>
  <c r="L409" i="3"/>
  <c r="T410" i="3" l="1"/>
  <c r="AG410" i="3" s="1"/>
  <c r="U409" i="3"/>
  <c r="Y408" i="3"/>
  <c r="AH410" i="3" l="1"/>
  <c r="D410" i="3"/>
  <c r="G410" i="3" s="1"/>
  <c r="E410" i="3"/>
  <c r="H410" i="3" s="1"/>
  <c r="K410" i="3" s="1"/>
  <c r="AE410" i="3" s="1"/>
  <c r="F410" i="3" l="1"/>
  <c r="V410" i="3"/>
  <c r="A411" i="3"/>
  <c r="B411" i="3" s="1"/>
  <c r="I410" i="3"/>
  <c r="J410" i="3"/>
  <c r="M410" i="3"/>
  <c r="N410" i="3" s="1"/>
  <c r="L410" i="3" l="1"/>
  <c r="P411" i="3"/>
  <c r="Q411" i="3" s="1"/>
  <c r="R411" i="3" s="1"/>
  <c r="S411" i="3" s="1"/>
  <c r="AC411" i="3"/>
  <c r="Z411" i="3"/>
  <c r="AA411" i="3"/>
  <c r="AD411" i="3"/>
  <c r="W410" i="3"/>
  <c r="T411" i="3" l="1"/>
  <c r="AG411" i="3" s="1"/>
  <c r="U410" i="3"/>
  <c r="Y409" i="3"/>
  <c r="D411" i="3" l="1"/>
  <c r="G411" i="3" s="1"/>
  <c r="AH411" i="3"/>
  <c r="E411" i="3"/>
  <c r="H411" i="3" s="1"/>
  <c r="K411" i="3" s="1"/>
  <c r="AE411" i="3" s="1"/>
  <c r="F411" i="3" l="1"/>
  <c r="V411" i="3"/>
  <c r="A412" i="3"/>
  <c r="B412" i="3" s="1"/>
  <c r="I411" i="3"/>
  <c r="J411" i="3"/>
  <c r="M411" i="3"/>
  <c r="N411" i="3" s="1"/>
  <c r="AD412" i="3" l="1"/>
  <c r="AA412" i="3"/>
  <c r="AC412" i="3"/>
  <c r="Z412" i="3"/>
  <c r="P412" i="3"/>
  <c r="Q412" i="3" s="1"/>
  <c r="R412" i="3" s="1"/>
  <c r="S412" i="3" s="1"/>
  <c r="L411" i="3"/>
  <c r="W411" i="3"/>
  <c r="T412" i="3" l="1"/>
  <c r="AH412" i="3" s="1"/>
  <c r="U411" i="3"/>
  <c r="Y410" i="3"/>
  <c r="AG412" i="3" l="1"/>
  <c r="E412" i="3"/>
  <c r="H412" i="3" s="1"/>
  <c r="K412" i="3" s="1"/>
  <c r="AE412" i="3" s="1"/>
  <c r="D412" i="3"/>
  <c r="G412" i="3" s="1"/>
  <c r="F412" i="3" l="1"/>
  <c r="I412" i="3"/>
  <c r="J412" i="3"/>
  <c r="M412" i="3"/>
  <c r="N412" i="3" s="1"/>
  <c r="V412" i="3"/>
  <c r="A413" i="3"/>
  <c r="B413" i="3" s="1"/>
  <c r="W412" i="3" l="1"/>
  <c r="AA413" i="3"/>
  <c r="Z413" i="3"/>
  <c r="P413" i="3"/>
  <c r="Q413" i="3" s="1"/>
  <c r="R413" i="3" s="1"/>
  <c r="S413" i="3" s="1"/>
  <c r="AC413" i="3"/>
  <c r="AD413" i="3"/>
  <c r="L412" i="3"/>
  <c r="T413" i="3" l="1"/>
  <c r="AG413" i="3" s="1"/>
  <c r="U412" i="3"/>
  <c r="Y411" i="3"/>
  <c r="AH413" i="3" l="1"/>
  <c r="E413" i="3"/>
  <c r="H413" i="3" s="1"/>
  <c r="K413" i="3" s="1"/>
  <c r="AE413" i="3" s="1"/>
  <c r="D413" i="3"/>
  <c r="F413" i="3" l="1"/>
  <c r="G413" i="3"/>
  <c r="J413" i="3" s="1"/>
  <c r="V413" i="3"/>
  <c r="A414" i="3"/>
  <c r="B414" i="3" s="1"/>
  <c r="M413" i="3" l="1"/>
  <c r="N413" i="3" s="1"/>
  <c r="I413" i="3"/>
  <c r="W413" i="3" s="1"/>
  <c r="Z414" i="3"/>
  <c r="AA414" i="3"/>
  <c r="AC414" i="3"/>
  <c r="AD414" i="3"/>
  <c r="P414" i="3"/>
  <c r="Q414" i="3" s="1"/>
  <c r="R414" i="3" s="1"/>
  <c r="S414" i="3" s="1"/>
  <c r="L413" i="3"/>
  <c r="T414" i="3" l="1"/>
  <c r="AH414" i="3" s="1"/>
  <c r="U413" i="3"/>
  <c r="Y412" i="3"/>
  <c r="AG414" i="3" l="1"/>
  <c r="D414" i="3"/>
  <c r="G414" i="3" s="1"/>
  <c r="E414" i="3"/>
  <c r="H414" i="3" s="1"/>
  <c r="K414" i="3" s="1"/>
  <c r="AE414" i="3" s="1"/>
  <c r="F414" i="3" l="1"/>
  <c r="V414" i="3"/>
  <c r="A415" i="3"/>
  <c r="B415" i="3" s="1"/>
  <c r="I414" i="3"/>
  <c r="J414" i="3"/>
  <c r="M414" i="3"/>
  <c r="N414" i="3" s="1"/>
  <c r="L414" i="3" l="1"/>
  <c r="P415" i="3"/>
  <c r="Q415" i="3" s="1"/>
  <c r="R415" i="3" s="1"/>
  <c r="S415" i="3" s="1"/>
  <c r="AA415" i="3"/>
  <c r="Z415" i="3"/>
  <c r="AC415" i="3"/>
  <c r="AD415" i="3"/>
  <c r="W414" i="3"/>
  <c r="T415" i="3" l="1"/>
  <c r="AH415" i="3" s="1"/>
  <c r="U414" i="3"/>
  <c r="Y413" i="3"/>
  <c r="E415" i="3" l="1"/>
  <c r="H415" i="3" s="1"/>
  <c r="K415" i="3" s="1"/>
  <c r="AE415" i="3" s="1"/>
  <c r="AG415" i="3"/>
  <c r="D415" i="3"/>
  <c r="F415" i="3" l="1"/>
  <c r="G415" i="3"/>
  <c r="I415" i="3" s="1"/>
  <c r="V415" i="3"/>
  <c r="A416" i="3"/>
  <c r="B416" i="3" s="1"/>
  <c r="M415" i="3" l="1"/>
  <c r="N415" i="3" s="1"/>
  <c r="J415" i="3"/>
  <c r="L415" i="3" s="1"/>
  <c r="P416" i="3"/>
  <c r="Q416" i="3" s="1"/>
  <c r="R416" i="3" s="1"/>
  <c r="S416" i="3" s="1"/>
  <c r="AC416" i="3"/>
  <c r="Z416" i="3"/>
  <c r="AD416" i="3"/>
  <c r="AA416" i="3"/>
  <c r="W415" i="3"/>
  <c r="T416" i="3" l="1"/>
  <c r="AH416" i="3" s="1"/>
  <c r="U415" i="3"/>
  <c r="Y414" i="3"/>
  <c r="AG416" i="3" l="1"/>
  <c r="E416" i="3"/>
  <c r="H416" i="3" s="1"/>
  <c r="K416" i="3" s="1"/>
  <c r="AE416" i="3" s="1"/>
  <c r="D416" i="3"/>
  <c r="F416" i="3" l="1"/>
  <c r="G416" i="3"/>
  <c r="I416" i="3" s="1"/>
  <c r="V416" i="3"/>
  <c r="A417" i="3"/>
  <c r="B417" i="3" s="1"/>
  <c r="M416" i="3" l="1"/>
  <c r="N416" i="3" s="1"/>
  <c r="J416" i="3"/>
  <c r="L416" i="3" s="1"/>
  <c r="W416" i="3"/>
  <c r="AA417" i="3"/>
  <c r="AC417" i="3"/>
  <c r="AD417" i="3"/>
  <c r="Z417" i="3"/>
  <c r="P417" i="3"/>
  <c r="Q417" i="3" s="1"/>
  <c r="R417" i="3" s="1"/>
  <c r="S417" i="3" s="1"/>
  <c r="T417" i="3" l="1"/>
  <c r="AH417" i="3" s="1"/>
  <c r="U416" i="3"/>
  <c r="Y415" i="3"/>
  <c r="AG417" i="3" l="1"/>
  <c r="E417" i="3"/>
  <c r="H417" i="3" s="1"/>
  <c r="K417" i="3" s="1"/>
  <c r="AE417" i="3" s="1"/>
  <c r="D417" i="3"/>
  <c r="F417" i="3" l="1"/>
  <c r="G417" i="3"/>
  <c r="I417" i="3" s="1"/>
  <c r="V417" i="3"/>
  <c r="A418" i="3"/>
  <c r="B418" i="3" s="1"/>
  <c r="M417" i="3" l="1"/>
  <c r="N417" i="3" s="1"/>
  <c r="J417" i="3"/>
  <c r="L417" i="3" s="1"/>
  <c r="W417" i="3"/>
  <c r="AC418" i="3"/>
  <c r="AD418" i="3"/>
  <c r="P418" i="3"/>
  <c r="Q418" i="3" s="1"/>
  <c r="R418" i="3" s="1"/>
  <c r="S418" i="3" s="1"/>
  <c r="AA418" i="3"/>
  <c r="Z418" i="3"/>
  <c r="U417" i="3" l="1"/>
  <c r="Y416" i="3"/>
  <c r="T418" i="3"/>
  <c r="AG418" i="3" s="1"/>
  <c r="E418" i="3" l="1"/>
  <c r="H418" i="3" s="1"/>
  <c r="D418" i="3"/>
  <c r="AH418" i="3"/>
  <c r="F418" i="3" l="1"/>
  <c r="G418" i="3"/>
  <c r="K418" i="3"/>
  <c r="AE418" i="3" s="1"/>
  <c r="V418" i="3" l="1"/>
  <c r="A419" i="3"/>
  <c r="B419" i="3" s="1"/>
  <c r="I418" i="3"/>
  <c r="J418" i="3"/>
  <c r="M418" i="3"/>
  <c r="N418" i="3" s="1"/>
  <c r="L418" i="3" l="1"/>
  <c r="AD419" i="3"/>
  <c r="AC419" i="3"/>
  <c r="AA419" i="3"/>
  <c r="Z419" i="3"/>
  <c r="P419" i="3"/>
  <c r="Q419" i="3" s="1"/>
  <c r="R419" i="3" s="1"/>
  <c r="S419" i="3" s="1"/>
  <c r="W418" i="3"/>
  <c r="T419" i="3" l="1"/>
  <c r="AG419" i="3" s="1"/>
  <c r="U418" i="3"/>
  <c r="Y417" i="3"/>
  <c r="D419" i="3" l="1"/>
  <c r="G419" i="3" s="1"/>
  <c r="AH419" i="3"/>
  <c r="E419" i="3"/>
  <c r="H419" i="3" s="1"/>
  <c r="K419" i="3" s="1"/>
  <c r="AE419" i="3" s="1"/>
  <c r="F419" i="3" l="1"/>
  <c r="I419" i="3"/>
  <c r="J419" i="3"/>
  <c r="M419" i="3"/>
  <c r="N419" i="3" s="1"/>
  <c r="V419" i="3"/>
  <c r="A420" i="3"/>
  <c r="B420" i="3" s="1"/>
  <c r="W419" i="3" l="1"/>
  <c r="Z420" i="3"/>
  <c r="AC420" i="3"/>
  <c r="AA420" i="3"/>
  <c r="AD420" i="3"/>
  <c r="P420" i="3"/>
  <c r="Q420" i="3" s="1"/>
  <c r="R420" i="3" s="1"/>
  <c r="S420" i="3" s="1"/>
  <c r="L419" i="3"/>
  <c r="T420" i="3" l="1"/>
  <c r="AG420" i="3" s="1"/>
  <c r="U419" i="3"/>
  <c r="Y418" i="3"/>
  <c r="E420" i="3" l="1"/>
  <c r="H420" i="3" s="1"/>
  <c r="K420" i="3" s="1"/>
  <c r="AE420" i="3" s="1"/>
  <c r="AH420" i="3"/>
  <c r="D420" i="3"/>
  <c r="F420" i="3" l="1"/>
  <c r="G420" i="3"/>
  <c r="I420" i="3" s="1"/>
  <c r="V420" i="3"/>
  <c r="A421" i="3"/>
  <c r="B421" i="3" s="1"/>
  <c r="M420" i="3" l="1"/>
  <c r="N420" i="3" s="1"/>
  <c r="J420" i="3"/>
  <c r="L420" i="3" s="1"/>
  <c r="W420" i="3"/>
  <c r="Z421" i="3"/>
  <c r="P421" i="3"/>
  <c r="Q421" i="3" s="1"/>
  <c r="R421" i="3" s="1"/>
  <c r="S421" i="3" s="1"/>
  <c r="AD421" i="3"/>
  <c r="AA421" i="3"/>
  <c r="AC421" i="3"/>
  <c r="T421" i="3" l="1"/>
  <c r="AH421" i="3" s="1"/>
  <c r="U420" i="3"/>
  <c r="Y419" i="3"/>
  <c r="D421" i="3" l="1"/>
  <c r="G421" i="3" s="1"/>
  <c r="AG421" i="3"/>
  <c r="E421" i="3"/>
  <c r="H421" i="3" s="1"/>
  <c r="K421" i="3" s="1"/>
  <c r="AE421" i="3" s="1"/>
  <c r="F421" i="3" l="1"/>
  <c r="V421" i="3"/>
  <c r="A422" i="3"/>
  <c r="B422" i="3" s="1"/>
  <c r="I421" i="3"/>
  <c r="J421" i="3"/>
  <c r="M421" i="3"/>
  <c r="N421" i="3" s="1"/>
  <c r="L421" i="3" l="1"/>
  <c r="P422" i="3"/>
  <c r="Q422" i="3" s="1"/>
  <c r="R422" i="3" s="1"/>
  <c r="S422" i="3" s="1"/>
  <c r="AC422" i="3"/>
  <c r="AA422" i="3"/>
  <c r="AD422" i="3"/>
  <c r="Z422" i="3"/>
  <c r="W421" i="3"/>
  <c r="T422" i="3" l="1"/>
  <c r="AH422" i="3" s="1"/>
  <c r="U421" i="3"/>
  <c r="Y420" i="3"/>
  <c r="D422" i="3" l="1"/>
  <c r="G422" i="3" s="1"/>
  <c r="AG422" i="3"/>
  <c r="E422" i="3"/>
  <c r="H422" i="3" s="1"/>
  <c r="K422" i="3" l="1"/>
  <c r="AE422" i="3" s="1"/>
  <c r="I422" i="3"/>
  <c r="J422" i="3"/>
  <c r="M422" i="3"/>
  <c r="N422" i="3" s="1"/>
  <c r="F422" i="3"/>
  <c r="L422" i="3" l="1"/>
  <c r="V422" i="3"/>
  <c r="W422" i="3" s="1"/>
  <c r="A423" i="3"/>
  <c r="B423" i="3" s="1"/>
  <c r="AD423" i="3" l="1"/>
  <c r="P423" i="3"/>
  <c r="Q423" i="3" s="1"/>
  <c r="R423" i="3" s="1"/>
  <c r="S423" i="3" s="1"/>
  <c r="AA423" i="3"/>
  <c r="Z423" i="3"/>
  <c r="AC423" i="3"/>
  <c r="U422" i="3"/>
  <c r="Y421" i="3"/>
  <c r="T423" i="3" l="1"/>
  <c r="D423" i="3" s="1"/>
  <c r="E423" i="3" l="1"/>
  <c r="H423" i="3" s="1"/>
  <c r="K423" i="3" s="1"/>
  <c r="AE423" i="3" s="1"/>
  <c r="AH423" i="3"/>
  <c r="AG423" i="3"/>
  <c r="G423" i="3"/>
  <c r="F423" i="3" l="1"/>
  <c r="I423" i="3"/>
  <c r="J423" i="3"/>
  <c r="M423" i="3"/>
  <c r="N423" i="3" s="1"/>
  <c r="V423" i="3"/>
  <c r="A424" i="3"/>
  <c r="B424" i="3" s="1"/>
  <c r="W423" i="3" l="1"/>
  <c r="Z424" i="3"/>
  <c r="AC424" i="3"/>
  <c r="AD424" i="3"/>
  <c r="P424" i="3"/>
  <c r="Q424" i="3" s="1"/>
  <c r="R424" i="3" s="1"/>
  <c r="S424" i="3" s="1"/>
  <c r="AA424" i="3"/>
  <c r="L423" i="3"/>
  <c r="U423" i="3" l="1"/>
  <c r="Y422" i="3"/>
  <c r="T424" i="3"/>
  <c r="E424" i="3" l="1"/>
  <c r="H424" i="3" s="1"/>
  <c r="K424" i="3" s="1"/>
  <c r="AE424" i="3" s="1"/>
  <c r="D424" i="3"/>
  <c r="AG424" i="3"/>
  <c r="AH424" i="3"/>
  <c r="F424" i="3" l="1"/>
  <c r="G424" i="3"/>
  <c r="I424" i="3" s="1"/>
  <c r="V424" i="3"/>
  <c r="A425" i="3"/>
  <c r="B425" i="3" s="1"/>
  <c r="W424" i="3" l="1"/>
  <c r="M424" i="3"/>
  <c r="N424" i="3" s="1"/>
  <c r="J424" i="3"/>
  <c r="L424" i="3" s="1"/>
  <c r="AC425" i="3"/>
  <c r="AD425" i="3"/>
  <c r="Z425" i="3"/>
  <c r="P425" i="3"/>
  <c r="Q425" i="3" s="1"/>
  <c r="R425" i="3" s="1"/>
  <c r="S425" i="3" s="1"/>
  <c r="AA425" i="3"/>
  <c r="T425" i="3" l="1"/>
  <c r="AH425" i="3" s="1"/>
  <c r="U424" i="3"/>
  <c r="Y423" i="3"/>
  <c r="AG425" i="3" l="1"/>
  <c r="E425" i="3"/>
  <c r="H425" i="3" s="1"/>
  <c r="K425" i="3" s="1"/>
  <c r="AE425" i="3" s="1"/>
  <c r="D425" i="3"/>
  <c r="G425" i="3" s="1"/>
  <c r="F425" i="3" l="1"/>
  <c r="V425" i="3"/>
  <c r="A426" i="3"/>
  <c r="B426" i="3" s="1"/>
  <c r="I425" i="3"/>
  <c r="J425" i="3"/>
  <c r="M425" i="3"/>
  <c r="N425" i="3" s="1"/>
  <c r="P426" i="3" l="1"/>
  <c r="Q426" i="3" s="1"/>
  <c r="R426" i="3" s="1"/>
  <c r="S426" i="3" s="1"/>
  <c r="AC426" i="3"/>
  <c r="AA426" i="3"/>
  <c r="AD426" i="3"/>
  <c r="Z426" i="3"/>
  <c r="L425" i="3"/>
  <c r="W425" i="3"/>
  <c r="U425" i="3" l="1"/>
  <c r="Y424" i="3"/>
  <c r="T426" i="3"/>
  <c r="AH426" i="3" s="1"/>
  <c r="D426" i="3" l="1"/>
  <c r="AG426" i="3"/>
  <c r="E426" i="3"/>
  <c r="H426" i="3" s="1"/>
  <c r="K426" i="3" l="1"/>
  <c r="AE426" i="3" s="1"/>
  <c r="F426" i="3"/>
  <c r="G426" i="3"/>
  <c r="V426" i="3" l="1"/>
  <c r="A427" i="3"/>
  <c r="B427" i="3" s="1"/>
  <c r="I426" i="3"/>
  <c r="J426" i="3"/>
  <c r="M426" i="3"/>
  <c r="N426" i="3" s="1"/>
  <c r="L426" i="3" l="1"/>
  <c r="Z427" i="3"/>
  <c r="AA427" i="3"/>
  <c r="P427" i="3"/>
  <c r="Q427" i="3" s="1"/>
  <c r="R427" i="3" s="1"/>
  <c r="S427" i="3" s="1"/>
  <c r="AD427" i="3"/>
  <c r="AC427" i="3"/>
  <c r="W426" i="3"/>
  <c r="T427" i="3" l="1"/>
  <c r="AH427" i="3" s="1"/>
  <c r="U426" i="3"/>
  <c r="Y425" i="3"/>
  <c r="AG427" i="3" l="1"/>
  <c r="D427" i="3"/>
  <c r="G427" i="3" s="1"/>
  <c r="E427" i="3"/>
  <c r="H427" i="3" s="1"/>
  <c r="K427" i="3" s="1"/>
  <c r="AE427" i="3" s="1"/>
  <c r="F427" i="3" l="1"/>
  <c r="I427" i="3"/>
  <c r="J427" i="3"/>
  <c r="M427" i="3"/>
  <c r="N427" i="3" s="1"/>
  <c r="V427" i="3"/>
  <c r="A428" i="3"/>
  <c r="B428" i="3" s="1"/>
  <c r="W427" i="3" l="1"/>
  <c r="AA428" i="3"/>
  <c r="AD428" i="3"/>
  <c r="P428" i="3"/>
  <c r="Q428" i="3" s="1"/>
  <c r="R428" i="3" s="1"/>
  <c r="S428" i="3" s="1"/>
  <c r="Z428" i="3"/>
  <c r="AC428" i="3"/>
  <c r="L427" i="3"/>
  <c r="T428" i="3" l="1"/>
  <c r="AH428" i="3" s="1"/>
  <c r="U427" i="3"/>
  <c r="Y426" i="3"/>
  <c r="D428" i="3" l="1"/>
  <c r="G428" i="3" s="1"/>
  <c r="E428" i="3"/>
  <c r="H428" i="3" s="1"/>
  <c r="K428" i="3" s="1"/>
  <c r="AE428" i="3" s="1"/>
  <c r="AG428" i="3"/>
  <c r="F428" i="3" l="1"/>
  <c r="V428" i="3"/>
  <c r="A429" i="3"/>
  <c r="B429" i="3" s="1"/>
  <c r="I428" i="3"/>
  <c r="J428" i="3"/>
  <c r="M428" i="3"/>
  <c r="N428" i="3" s="1"/>
  <c r="P429" i="3" l="1"/>
  <c r="Q429" i="3" s="1"/>
  <c r="R429" i="3" s="1"/>
  <c r="S429" i="3" s="1"/>
  <c r="AC429" i="3"/>
  <c r="AD429" i="3"/>
  <c r="AA429" i="3"/>
  <c r="Z429" i="3"/>
  <c r="L428" i="3"/>
  <c r="W428" i="3"/>
  <c r="U428" i="3" l="1"/>
  <c r="Y427" i="3"/>
  <c r="T429" i="3"/>
  <c r="AG429" i="3" s="1"/>
  <c r="E429" i="3" l="1"/>
  <c r="H429" i="3" s="1"/>
  <c r="K429" i="3" s="1"/>
  <c r="AE429" i="3" s="1"/>
  <c r="AH429" i="3"/>
  <c r="D429" i="3"/>
  <c r="F429" i="3" l="1"/>
  <c r="G429" i="3"/>
  <c r="I429" i="3" s="1"/>
  <c r="V429" i="3"/>
  <c r="A430" i="3"/>
  <c r="B430" i="3" s="1"/>
  <c r="M429" i="3" l="1"/>
  <c r="N429" i="3" s="1"/>
  <c r="J429" i="3"/>
  <c r="L429" i="3" s="1"/>
  <c r="P430" i="3"/>
  <c r="Q430" i="3" s="1"/>
  <c r="R430" i="3" s="1"/>
  <c r="S430" i="3" s="1"/>
  <c r="AC430" i="3"/>
  <c r="AD430" i="3"/>
  <c r="AA430" i="3"/>
  <c r="Z430" i="3"/>
  <c r="W429" i="3"/>
  <c r="T430" i="3" l="1"/>
  <c r="AH430" i="3" s="1"/>
  <c r="U429" i="3"/>
  <c r="Y428" i="3"/>
  <c r="D430" i="3" l="1"/>
  <c r="G430" i="3" s="1"/>
  <c r="E430" i="3"/>
  <c r="H430" i="3" s="1"/>
  <c r="K430" i="3" s="1"/>
  <c r="AE430" i="3" s="1"/>
  <c r="AG430" i="3"/>
  <c r="F430" i="3" l="1"/>
  <c r="V430" i="3"/>
  <c r="A431" i="3"/>
  <c r="B431" i="3" s="1"/>
  <c r="I430" i="3"/>
  <c r="J430" i="3"/>
  <c r="M430" i="3"/>
  <c r="N430" i="3" s="1"/>
  <c r="AC431" i="3" l="1"/>
  <c r="Z431" i="3"/>
  <c r="P431" i="3"/>
  <c r="Q431" i="3" s="1"/>
  <c r="R431" i="3" s="1"/>
  <c r="S431" i="3" s="1"/>
  <c r="AD431" i="3"/>
  <c r="AA431" i="3"/>
  <c r="L430" i="3"/>
  <c r="W430" i="3"/>
  <c r="T431" i="3" l="1"/>
  <c r="AG431" i="3" s="1"/>
  <c r="U430" i="3"/>
  <c r="Y429" i="3"/>
  <c r="AH431" i="3" l="1"/>
  <c r="D431" i="3"/>
  <c r="G431" i="3" s="1"/>
  <c r="E431" i="3"/>
  <c r="H431" i="3" s="1"/>
  <c r="K431" i="3" l="1"/>
  <c r="AE431" i="3" s="1"/>
  <c r="I431" i="3"/>
  <c r="J431" i="3"/>
  <c r="M431" i="3"/>
  <c r="N431" i="3" s="1"/>
  <c r="F431" i="3"/>
  <c r="L431" i="3" l="1"/>
  <c r="V431" i="3"/>
  <c r="W431" i="3" s="1"/>
  <c r="A432" i="3"/>
  <c r="B432" i="3" s="1"/>
  <c r="AC432" i="3" l="1"/>
  <c r="Z432" i="3"/>
  <c r="AD432" i="3"/>
  <c r="AA432" i="3"/>
  <c r="P432" i="3"/>
  <c r="Q432" i="3" s="1"/>
  <c r="R432" i="3" s="1"/>
  <c r="S432" i="3" s="1"/>
  <c r="U431" i="3"/>
  <c r="Y430" i="3"/>
  <c r="T432" i="3" l="1"/>
  <c r="E432" i="3" s="1"/>
  <c r="H432" i="3" s="1"/>
  <c r="AH432" i="3" l="1"/>
  <c r="D432" i="3"/>
  <c r="F432" i="3" s="1"/>
  <c r="AG432" i="3"/>
  <c r="K432" i="3"/>
  <c r="AE432" i="3" s="1"/>
  <c r="G432" i="3" l="1"/>
  <c r="I432" i="3" s="1"/>
  <c r="V432" i="3"/>
  <c r="A433" i="3"/>
  <c r="B433" i="3" s="1"/>
  <c r="M432" i="3" l="1"/>
  <c r="N432" i="3" s="1"/>
  <c r="J432" i="3"/>
  <c r="L432" i="3" s="1"/>
  <c r="W432" i="3"/>
  <c r="AA433" i="3"/>
  <c r="P433" i="3"/>
  <c r="Q433" i="3" s="1"/>
  <c r="R433" i="3" s="1"/>
  <c r="S433" i="3" s="1"/>
  <c r="AD433" i="3"/>
  <c r="AC433" i="3"/>
  <c r="Z433" i="3"/>
  <c r="T433" i="3" l="1"/>
  <c r="AG433" i="3" s="1"/>
  <c r="U432" i="3"/>
  <c r="Y431" i="3"/>
  <c r="E433" i="3" l="1"/>
  <c r="H433" i="3" s="1"/>
  <c r="K433" i="3" s="1"/>
  <c r="AE433" i="3" s="1"/>
  <c r="AH433" i="3"/>
  <c r="D433" i="3"/>
  <c r="F433" i="3" l="1"/>
  <c r="G433" i="3"/>
  <c r="V433" i="3"/>
  <c r="A434" i="3"/>
  <c r="B434" i="3" s="1"/>
  <c r="AA434" i="3" l="1"/>
  <c r="AC434" i="3"/>
  <c r="P434" i="3"/>
  <c r="Q434" i="3" s="1"/>
  <c r="R434" i="3" s="1"/>
  <c r="S434" i="3" s="1"/>
  <c r="Z434" i="3"/>
  <c r="AD434" i="3"/>
  <c r="I433" i="3"/>
  <c r="W433" i="3" s="1"/>
  <c r="J433" i="3"/>
  <c r="M433" i="3"/>
  <c r="N433" i="3" s="1"/>
  <c r="T434" i="3" l="1"/>
  <c r="L433" i="3"/>
  <c r="U433" i="3" l="1"/>
  <c r="D434" i="3" s="1"/>
  <c r="AH434" i="3"/>
  <c r="AG434" i="3"/>
  <c r="Y432" i="3"/>
  <c r="E434" i="3" l="1"/>
  <c r="H434" i="3" s="1"/>
  <c r="K434" i="3" s="1"/>
  <c r="AE434" i="3" s="1"/>
  <c r="G434" i="3"/>
  <c r="F434" i="3" l="1"/>
  <c r="I434" i="3"/>
  <c r="J434" i="3"/>
  <c r="M434" i="3"/>
  <c r="N434" i="3" s="1"/>
  <c r="V434" i="3"/>
  <c r="A435" i="3"/>
  <c r="B435" i="3" s="1"/>
  <c r="W434" i="3" l="1"/>
  <c r="P435" i="3"/>
  <c r="Q435" i="3" s="1"/>
  <c r="R435" i="3" s="1"/>
  <c r="S435" i="3" s="1"/>
  <c r="AD435" i="3"/>
  <c r="AC435" i="3"/>
  <c r="Z435" i="3"/>
  <c r="AA435" i="3"/>
  <c r="L434" i="3"/>
  <c r="T435" i="3" l="1"/>
  <c r="AH435" i="3" s="1"/>
  <c r="U434" i="3"/>
  <c r="Y433" i="3"/>
  <c r="E435" i="3" l="1"/>
  <c r="H435" i="3" s="1"/>
  <c r="K435" i="3" s="1"/>
  <c r="AE435" i="3" s="1"/>
  <c r="D435" i="3"/>
  <c r="AG435" i="3"/>
  <c r="F435" i="3" l="1"/>
  <c r="G435" i="3"/>
  <c r="J435" i="3" s="1"/>
  <c r="V435" i="3"/>
  <c r="A436" i="3"/>
  <c r="B436" i="3" s="1"/>
  <c r="M435" i="3" l="1"/>
  <c r="N435" i="3" s="1"/>
  <c r="I435" i="3"/>
  <c r="W435" i="3" s="1"/>
  <c r="L435" i="3"/>
  <c r="AA436" i="3"/>
  <c r="AD436" i="3"/>
  <c r="AC436" i="3"/>
  <c r="P436" i="3"/>
  <c r="Q436" i="3" s="1"/>
  <c r="R436" i="3" s="1"/>
  <c r="S436" i="3" s="1"/>
  <c r="Z436" i="3"/>
  <c r="T436" i="3" l="1"/>
  <c r="U435" i="3"/>
  <c r="Y434" i="3"/>
  <c r="E436" i="3" l="1"/>
  <c r="H436" i="3" s="1"/>
  <c r="K436" i="3" s="1"/>
  <c r="AE436" i="3" s="1"/>
  <c r="AH436" i="3"/>
  <c r="AG436" i="3"/>
  <c r="D436" i="3"/>
  <c r="G436" i="3" s="1"/>
  <c r="F436" i="3" l="1"/>
  <c r="V436" i="3"/>
  <c r="A437" i="3"/>
  <c r="B437" i="3" s="1"/>
  <c r="I436" i="3"/>
  <c r="J436" i="3"/>
  <c r="M436" i="3"/>
  <c r="N436" i="3" s="1"/>
  <c r="P437" i="3" l="1"/>
  <c r="Q437" i="3" s="1"/>
  <c r="R437" i="3" s="1"/>
  <c r="S437" i="3" s="1"/>
  <c r="AD437" i="3"/>
  <c r="Z437" i="3"/>
  <c r="AC437" i="3"/>
  <c r="AA437" i="3"/>
  <c r="L436" i="3"/>
  <c r="W436" i="3"/>
  <c r="T437" i="3" l="1"/>
  <c r="AH437" i="3" s="1"/>
  <c r="U436" i="3"/>
  <c r="Y435" i="3"/>
  <c r="D437" i="3" l="1"/>
  <c r="G437" i="3" s="1"/>
  <c r="AG437" i="3"/>
  <c r="E437" i="3"/>
  <c r="H437" i="3" s="1"/>
  <c r="K437" i="3" s="1"/>
  <c r="AE437" i="3" s="1"/>
  <c r="F437" i="3" l="1"/>
  <c r="I437" i="3"/>
  <c r="J437" i="3"/>
  <c r="M437" i="3"/>
  <c r="N437" i="3" s="1"/>
  <c r="V437" i="3"/>
  <c r="A438" i="3"/>
  <c r="B438" i="3" s="1"/>
  <c r="W437" i="3" l="1"/>
  <c r="AA438" i="3"/>
  <c r="AD438" i="3"/>
  <c r="Z438" i="3"/>
  <c r="AC438" i="3"/>
  <c r="P438" i="3"/>
  <c r="Q438" i="3" s="1"/>
  <c r="R438" i="3" s="1"/>
  <c r="S438" i="3" s="1"/>
  <c r="L437" i="3"/>
  <c r="T438" i="3" l="1"/>
  <c r="AH438" i="3" s="1"/>
  <c r="U437" i="3"/>
  <c r="Y436" i="3"/>
  <c r="D438" i="3" l="1"/>
  <c r="G438" i="3" s="1"/>
  <c r="AG438" i="3"/>
  <c r="E438" i="3"/>
  <c r="H438" i="3" s="1"/>
  <c r="K438" i="3" s="1"/>
  <c r="AE438" i="3" s="1"/>
  <c r="F438" i="3" l="1"/>
  <c r="I438" i="3"/>
  <c r="J438" i="3"/>
  <c r="M438" i="3"/>
  <c r="N438" i="3" s="1"/>
  <c r="V438" i="3"/>
  <c r="A439" i="3"/>
  <c r="B439" i="3" s="1"/>
  <c r="W438" i="3" l="1"/>
  <c r="P439" i="3"/>
  <c r="Q439" i="3" s="1"/>
  <c r="R439" i="3" s="1"/>
  <c r="S439" i="3" s="1"/>
  <c r="AA439" i="3"/>
  <c r="AD439" i="3"/>
  <c r="AC439" i="3"/>
  <c r="Z439" i="3"/>
  <c r="L438" i="3"/>
  <c r="T439" i="3" l="1"/>
  <c r="AG439" i="3" s="1"/>
  <c r="U438" i="3"/>
  <c r="Y437" i="3"/>
  <c r="D439" i="3" l="1"/>
  <c r="G439" i="3" s="1"/>
  <c r="E439" i="3"/>
  <c r="H439" i="3" s="1"/>
  <c r="K439" i="3" s="1"/>
  <c r="AE439" i="3" s="1"/>
  <c r="AH439" i="3"/>
  <c r="F439" i="3" l="1"/>
  <c r="I439" i="3"/>
  <c r="J439" i="3"/>
  <c r="M439" i="3"/>
  <c r="N439" i="3" s="1"/>
  <c r="V439" i="3"/>
  <c r="A440" i="3"/>
  <c r="B440" i="3" s="1"/>
  <c r="W439" i="3" l="1"/>
  <c r="AA440" i="3"/>
  <c r="AC440" i="3"/>
  <c r="AD440" i="3"/>
  <c r="Z440" i="3"/>
  <c r="P440" i="3"/>
  <c r="Q440" i="3" s="1"/>
  <c r="R440" i="3" s="1"/>
  <c r="S440" i="3" s="1"/>
  <c r="L439" i="3"/>
  <c r="T440" i="3" l="1"/>
  <c r="AG440" i="3" s="1"/>
  <c r="U439" i="3"/>
  <c r="Y438" i="3"/>
  <c r="AH440" i="3" l="1"/>
  <c r="D440" i="3"/>
  <c r="G440" i="3" s="1"/>
  <c r="E440" i="3"/>
  <c r="H440" i="3" s="1"/>
  <c r="K440" i="3" s="1"/>
  <c r="AE440" i="3" s="1"/>
  <c r="F440" i="3" l="1"/>
  <c r="V440" i="3"/>
  <c r="A441" i="3"/>
  <c r="B441" i="3" s="1"/>
  <c r="I440" i="3"/>
  <c r="J440" i="3"/>
  <c r="M440" i="3"/>
  <c r="N440" i="3" s="1"/>
  <c r="L440" i="3" l="1"/>
  <c r="P441" i="3"/>
  <c r="Q441" i="3" s="1"/>
  <c r="R441" i="3" s="1"/>
  <c r="S441" i="3" s="1"/>
  <c r="AD441" i="3"/>
  <c r="AC441" i="3"/>
  <c r="Z441" i="3"/>
  <c r="AA441" i="3"/>
  <c r="W440" i="3"/>
  <c r="T441" i="3" l="1"/>
  <c r="AG441" i="3" s="1"/>
  <c r="U440" i="3"/>
  <c r="Y439" i="3"/>
  <c r="D441" i="3" l="1"/>
  <c r="G441" i="3" s="1"/>
  <c r="AH441" i="3"/>
  <c r="E441" i="3"/>
  <c r="H441" i="3" s="1"/>
  <c r="K441" i="3" s="1"/>
  <c r="AE441" i="3" s="1"/>
  <c r="F441" i="3" l="1"/>
  <c r="V441" i="3"/>
  <c r="A442" i="3"/>
  <c r="B442" i="3" s="1"/>
  <c r="I441" i="3"/>
  <c r="J441" i="3"/>
  <c r="M441" i="3"/>
  <c r="N441" i="3" s="1"/>
  <c r="AA442" i="3" l="1"/>
  <c r="P442" i="3"/>
  <c r="Q442" i="3" s="1"/>
  <c r="R442" i="3" s="1"/>
  <c r="S442" i="3" s="1"/>
  <c r="AD442" i="3"/>
  <c r="Z442" i="3"/>
  <c r="AC442" i="3"/>
  <c r="L441" i="3"/>
  <c r="W441" i="3"/>
  <c r="T442" i="3" l="1"/>
  <c r="AG442" i="3" s="1"/>
  <c r="U441" i="3"/>
  <c r="Y440" i="3"/>
  <c r="AH442" i="3" l="1"/>
  <c r="E442" i="3"/>
  <c r="H442" i="3" s="1"/>
  <c r="K442" i="3" s="1"/>
  <c r="AE442" i="3" s="1"/>
  <c r="D442" i="3"/>
  <c r="F442" i="3" l="1"/>
  <c r="G442" i="3"/>
  <c r="I442" i="3" s="1"/>
  <c r="V442" i="3"/>
  <c r="A443" i="3"/>
  <c r="B443" i="3" s="1"/>
  <c r="M442" i="3" l="1"/>
  <c r="N442" i="3" s="1"/>
  <c r="J442" i="3"/>
  <c r="L442" i="3" s="1"/>
  <c r="Z443" i="3"/>
  <c r="P443" i="3"/>
  <c r="Q443" i="3" s="1"/>
  <c r="R443" i="3" s="1"/>
  <c r="S443" i="3" s="1"/>
  <c r="AA443" i="3"/>
  <c r="AD443" i="3"/>
  <c r="AC443" i="3"/>
  <c r="W442" i="3"/>
  <c r="T443" i="3" l="1"/>
  <c r="AH443" i="3" s="1"/>
  <c r="U442" i="3"/>
  <c r="Y441" i="3"/>
  <c r="E443" i="3" l="1"/>
  <c r="H443" i="3" s="1"/>
  <c r="K443" i="3" s="1"/>
  <c r="AE443" i="3" s="1"/>
  <c r="AG443" i="3"/>
  <c r="D443" i="3"/>
  <c r="F443" i="3" l="1"/>
  <c r="G443" i="3"/>
  <c r="I443" i="3" s="1"/>
  <c r="V443" i="3"/>
  <c r="A444" i="3"/>
  <c r="B444" i="3" s="1"/>
  <c r="M443" i="3" l="1"/>
  <c r="N443" i="3" s="1"/>
  <c r="J443" i="3"/>
  <c r="L443" i="3" s="1"/>
  <c r="Z444" i="3"/>
  <c r="P444" i="3"/>
  <c r="Q444" i="3" s="1"/>
  <c r="R444" i="3" s="1"/>
  <c r="S444" i="3" s="1"/>
  <c r="AC444" i="3"/>
  <c r="AA444" i="3"/>
  <c r="AD444" i="3"/>
  <c r="W443" i="3"/>
  <c r="T444" i="3" l="1"/>
  <c r="AG444" i="3" s="1"/>
  <c r="U443" i="3"/>
  <c r="Y442" i="3"/>
  <c r="AH444" i="3" l="1"/>
  <c r="D444" i="3"/>
  <c r="G444" i="3" s="1"/>
  <c r="E444" i="3"/>
  <c r="H444" i="3" s="1"/>
  <c r="K444" i="3" l="1"/>
  <c r="AE444" i="3" s="1"/>
  <c r="I444" i="3"/>
  <c r="J444" i="3"/>
  <c r="M444" i="3"/>
  <c r="N444" i="3" s="1"/>
  <c r="F444" i="3"/>
  <c r="L444" i="3" l="1"/>
  <c r="V444" i="3"/>
  <c r="W444" i="3" s="1"/>
  <c r="A445" i="3"/>
  <c r="B445" i="3" s="1"/>
  <c r="Z445" i="3" l="1"/>
  <c r="AC445" i="3"/>
  <c r="AA445" i="3"/>
  <c r="P445" i="3"/>
  <c r="Q445" i="3" s="1"/>
  <c r="R445" i="3" s="1"/>
  <c r="S445" i="3" s="1"/>
  <c r="AD445" i="3"/>
  <c r="U444" i="3"/>
  <c r="Y443" i="3"/>
  <c r="T445" i="3" l="1"/>
  <c r="D445" i="3" s="1"/>
  <c r="E445" i="3" l="1"/>
  <c r="H445" i="3" s="1"/>
  <c r="K445" i="3" s="1"/>
  <c r="AE445" i="3" s="1"/>
  <c r="AG445" i="3"/>
  <c r="AH445" i="3"/>
  <c r="G445" i="3"/>
  <c r="F445" i="3" l="1"/>
  <c r="I445" i="3"/>
  <c r="J445" i="3"/>
  <c r="M445" i="3"/>
  <c r="N445" i="3" s="1"/>
  <c r="V445" i="3"/>
  <c r="W445" i="3" s="1"/>
  <c r="A446" i="3"/>
  <c r="B446" i="3" s="1"/>
  <c r="Z446" i="3" l="1"/>
  <c r="AA446" i="3"/>
  <c r="AD446" i="3"/>
  <c r="AC446" i="3"/>
  <c r="P446" i="3"/>
  <c r="Q446" i="3" s="1"/>
  <c r="R446" i="3" s="1"/>
  <c r="S446" i="3" s="1"/>
  <c r="L445" i="3"/>
  <c r="T446" i="3" l="1"/>
  <c r="AH446" i="3" s="1"/>
  <c r="U445" i="3"/>
  <c r="Y444" i="3"/>
  <c r="AG446" i="3" l="1"/>
  <c r="E446" i="3"/>
  <c r="H446" i="3" s="1"/>
  <c r="K446" i="3" s="1"/>
  <c r="AE446" i="3" s="1"/>
  <c r="D446" i="3"/>
  <c r="F446" i="3" l="1"/>
  <c r="G446" i="3"/>
  <c r="I446" i="3" s="1"/>
  <c r="V446" i="3"/>
  <c r="A447" i="3"/>
  <c r="B447" i="3" s="1"/>
  <c r="M446" i="3" l="1"/>
  <c r="N446" i="3" s="1"/>
  <c r="J446" i="3"/>
  <c r="L446" i="3" s="1"/>
  <c r="AA447" i="3"/>
  <c r="AD447" i="3"/>
  <c r="Z447" i="3"/>
  <c r="AC447" i="3"/>
  <c r="P447" i="3"/>
  <c r="Q447" i="3" s="1"/>
  <c r="R447" i="3" s="1"/>
  <c r="S447" i="3" s="1"/>
  <c r="W446" i="3"/>
  <c r="T447" i="3" l="1"/>
  <c r="AG447" i="3" s="1"/>
  <c r="U446" i="3"/>
  <c r="Y445" i="3"/>
  <c r="D447" i="3" l="1"/>
  <c r="G447" i="3" s="1"/>
  <c r="AH447" i="3"/>
  <c r="E447" i="3"/>
  <c r="H447" i="3" s="1"/>
  <c r="K447" i="3" s="1"/>
  <c r="AE447" i="3" s="1"/>
  <c r="F447" i="3" l="1"/>
  <c r="V447" i="3"/>
  <c r="A448" i="3"/>
  <c r="B448" i="3" s="1"/>
  <c r="I447" i="3"/>
  <c r="J447" i="3"/>
  <c r="M447" i="3"/>
  <c r="N447" i="3" s="1"/>
  <c r="L447" i="3" l="1"/>
  <c r="P448" i="3"/>
  <c r="Q448" i="3" s="1"/>
  <c r="R448" i="3" s="1"/>
  <c r="S448" i="3" s="1"/>
  <c r="Z448" i="3"/>
  <c r="AA448" i="3"/>
  <c r="AD448" i="3"/>
  <c r="AC448" i="3"/>
  <c r="W447" i="3"/>
  <c r="T448" i="3" l="1"/>
  <c r="AG448" i="3" s="1"/>
  <c r="U447" i="3"/>
  <c r="Y446" i="3"/>
  <c r="D448" i="3" l="1"/>
  <c r="G448" i="3" s="1"/>
  <c r="AH448" i="3"/>
  <c r="E448" i="3"/>
  <c r="H448" i="3" s="1"/>
  <c r="K448" i="3" s="1"/>
  <c r="AE448" i="3" s="1"/>
  <c r="F448" i="3" l="1"/>
  <c r="V448" i="3"/>
  <c r="A449" i="3"/>
  <c r="B449" i="3" s="1"/>
  <c r="I448" i="3"/>
  <c r="J448" i="3"/>
  <c r="M448" i="3"/>
  <c r="N448" i="3" s="1"/>
  <c r="L448" i="3" l="1"/>
  <c r="AD449" i="3"/>
  <c r="AA449" i="3"/>
  <c r="Z449" i="3"/>
  <c r="P449" i="3"/>
  <c r="Q449" i="3" s="1"/>
  <c r="R449" i="3" s="1"/>
  <c r="S449" i="3" s="1"/>
  <c r="AC449" i="3"/>
  <c r="W448" i="3"/>
  <c r="T449" i="3" l="1"/>
  <c r="AH449" i="3" s="1"/>
  <c r="U448" i="3"/>
  <c r="Y447" i="3"/>
  <c r="E449" i="3" l="1"/>
  <c r="H449" i="3" s="1"/>
  <c r="K449" i="3" s="1"/>
  <c r="AE449" i="3" s="1"/>
  <c r="D449" i="3"/>
  <c r="G449" i="3" s="1"/>
  <c r="AG449" i="3"/>
  <c r="F449" i="3" l="1"/>
  <c r="I449" i="3"/>
  <c r="J449" i="3"/>
  <c r="M449" i="3"/>
  <c r="N449" i="3" s="1"/>
  <c r="V449" i="3"/>
  <c r="A450" i="3"/>
  <c r="B450" i="3" s="1"/>
  <c r="W449" i="3" l="1"/>
  <c r="Z450" i="3"/>
  <c r="AC450" i="3"/>
  <c r="AA450" i="3"/>
  <c r="AD450" i="3"/>
  <c r="P450" i="3"/>
  <c r="Q450" i="3" s="1"/>
  <c r="R450" i="3" s="1"/>
  <c r="S450" i="3" s="1"/>
  <c r="L449" i="3"/>
  <c r="T450" i="3" l="1"/>
  <c r="U449" i="3"/>
  <c r="Y448" i="3"/>
  <c r="E450" i="3" l="1"/>
  <c r="H450" i="3" s="1"/>
  <c r="K450" i="3" s="1"/>
  <c r="AE450" i="3" s="1"/>
  <c r="AH450" i="3"/>
  <c r="D450" i="3"/>
  <c r="G450" i="3" s="1"/>
  <c r="AG450" i="3"/>
  <c r="F450" i="3" l="1"/>
  <c r="I450" i="3"/>
  <c r="J450" i="3"/>
  <c r="M450" i="3"/>
  <c r="N450" i="3" s="1"/>
  <c r="V450" i="3"/>
  <c r="A451" i="3"/>
  <c r="B451" i="3" s="1"/>
  <c r="W450" i="3" l="1"/>
  <c r="P451" i="3"/>
  <c r="Q451" i="3" s="1"/>
  <c r="R451" i="3" s="1"/>
  <c r="S451" i="3" s="1"/>
  <c r="AC451" i="3"/>
  <c r="AD451" i="3"/>
  <c r="AA451" i="3"/>
  <c r="Z451" i="3"/>
  <c r="L450" i="3"/>
  <c r="U450" i="3" l="1"/>
  <c r="Y449" i="3"/>
  <c r="T451" i="3"/>
  <c r="AH451" i="3" s="1"/>
  <c r="D451" i="3" l="1"/>
  <c r="AG451" i="3"/>
  <c r="E451" i="3"/>
  <c r="H451" i="3" s="1"/>
  <c r="K451" i="3" l="1"/>
  <c r="AE451" i="3" s="1"/>
  <c r="F451" i="3"/>
  <c r="G451" i="3"/>
  <c r="I451" i="3" l="1"/>
  <c r="J451" i="3"/>
  <c r="M451" i="3"/>
  <c r="N451" i="3" s="1"/>
  <c r="V451" i="3"/>
  <c r="A452" i="3"/>
  <c r="B452" i="3" s="1"/>
  <c r="W451" i="3" l="1"/>
  <c r="AD452" i="3"/>
  <c r="AA452" i="3"/>
  <c r="AC452" i="3"/>
  <c r="Z452" i="3"/>
  <c r="P452" i="3"/>
  <c r="Q452" i="3" s="1"/>
  <c r="R452" i="3" s="1"/>
  <c r="S452" i="3" s="1"/>
  <c r="L451" i="3"/>
  <c r="T452" i="3" l="1"/>
  <c r="AH452" i="3" s="1"/>
  <c r="U451" i="3"/>
  <c r="Y450" i="3"/>
  <c r="D452" i="3" l="1"/>
  <c r="G452" i="3" s="1"/>
  <c r="AG452" i="3"/>
  <c r="E452" i="3"/>
  <c r="H452" i="3" s="1"/>
  <c r="K452" i="3" l="1"/>
  <c r="AE452" i="3" s="1"/>
  <c r="I452" i="3"/>
  <c r="J452" i="3"/>
  <c r="M452" i="3"/>
  <c r="N452" i="3" s="1"/>
  <c r="F452" i="3"/>
  <c r="L452" i="3" l="1"/>
  <c r="V452" i="3"/>
  <c r="W452" i="3" s="1"/>
  <c r="A453" i="3"/>
  <c r="B453" i="3" s="1"/>
  <c r="AA453" i="3" l="1"/>
  <c r="Z453" i="3"/>
  <c r="AD453" i="3"/>
  <c r="P453" i="3"/>
  <c r="Q453" i="3" s="1"/>
  <c r="R453" i="3" s="1"/>
  <c r="S453" i="3" s="1"/>
  <c r="AC453" i="3"/>
  <c r="U452" i="3"/>
  <c r="Y451" i="3"/>
  <c r="T453" i="3" l="1"/>
  <c r="AG453" i="3" s="1"/>
  <c r="AH453" i="3" l="1"/>
  <c r="D453" i="3"/>
  <c r="G453" i="3" s="1"/>
  <c r="E453" i="3"/>
  <c r="H453" i="3" s="1"/>
  <c r="K453" i="3" s="1"/>
  <c r="AE453" i="3" s="1"/>
  <c r="F453" i="3" l="1"/>
  <c r="V453" i="3"/>
  <c r="A454" i="3"/>
  <c r="B454" i="3" s="1"/>
  <c r="I453" i="3"/>
  <c r="J453" i="3"/>
  <c r="M453" i="3"/>
  <c r="N453" i="3" s="1"/>
  <c r="L453" i="3" l="1"/>
  <c r="Z454" i="3"/>
  <c r="AC454" i="3"/>
  <c r="P454" i="3"/>
  <c r="Q454" i="3" s="1"/>
  <c r="R454" i="3" s="1"/>
  <c r="S454" i="3" s="1"/>
  <c r="AD454" i="3"/>
  <c r="AA454" i="3"/>
  <c r="W453" i="3"/>
  <c r="T454" i="3" l="1"/>
  <c r="AG454" i="3" s="1"/>
  <c r="U453" i="3"/>
  <c r="Y452" i="3"/>
  <c r="D454" i="3" l="1"/>
  <c r="G454" i="3" s="1"/>
  <c r="AH454" i="3"/>
  <c r="E454" i="3"/>
  <c r="H454" i="3" s="1"/>
  <c r="K454" i="3" s="1"/>
  <c r="AE454" i="3" s="1"/>
  <c r="F454" i="3" l="1"/>
  <c r="V454" i="3"/>
  <c r="A455" i="3"/>
  <c r="B455" i="3" s="1"/>
  <c r="I454" i="3"/>
  <c r="J454" i="3"/>
  <c r="M454" i="3"/>
  <c r="N454" i="3" s="1"/>
  <c r="AA455" i="3" l="1"/>
  <c r="Z455" i="3"/>
  <c r="AC455" i="3"/>
  <c r="P455" i="3"/>
  <c r="Q455" i="3" s="1"/>
  <c r="R455" i="3" s="1"/>
  <c r="S455" i="3" s="1"/>
  <c r="AD455" i="3"/>
  <c r="L454" i="3"/>
  <c r="W454" i="3"/>
  <c r="T455" i="3" l="1"/>
  <c r="AH455" i="3" s="1"/>
  <c r="U454" i="3"/>
  <c r="Y453" i="3"/>
  <c r="E455" i="3" l="1"/>
  <c r="H455" i="3" s="1"/>
  <c r="K455" i="3" s="1"/>
  <c r="AE455" i="3" s="1"/>
  <c r="AG455" i="3"/>
  <c r="D455" i="3"/>
  <c r="G455" i="3" s="1"/>
  <c r="F455" i="3" l="1"/>
  <c r="I455" i="3"/>
  <c r="J455" i="3"/>
  <c r="M455" i="3"/>
  <c r="N455" i="3" s="1"/>
  <c r="V455" i="3"/>
  <c r="A456" i="3"/>
  <c r="B456" i="3" s="1"/>
  <c r="W455" i="3" l="1"/>
  <c r="AA456" i="3"/>
  <c r="AC456" i="3"/>
  <c r="AD456" i="3"/>
  <c r="Z456" i="3"/>
  <c r="P456" i="3"/>
  <c r="Q456" i="3" s="1"/>
  <c r="R456" i="3" s="1"/>
  <c r="S456" i="3" s="1"/>
  <c r="L455" i="3"/>
  <c r="T456" i="3" l="1"/>
  <c r="AG456" i="3" s="1"/>
  <c r="U455" i="3"/>
  <c r="Y454" i="3"/>
  <c r="AH456" i="3" l="1"/>
  <c r="D456" i="3"/>
  <c r="G456" i="3" s="1"/>
  <c r="E456" i="3"/>
  <c r="H456" i="3" s="1"/>
  <c r="K456" i="3" s="1"/>
  <c r="AE456" i="3" s="1"/>
  <c r="F456" i="3" l="1"/>
  <c r="V456" i="3"/>
  <c r="A457" i="3"/>
  <c r="B457" i="3" s="1"/>
  <c r="I456" i="3"/>
  <c r="J456" i="3"/>
  <c r="M456" i="3"/>
  <c r="N456" i="3" s="1"/>
  <c r="AD457" i="3" l="1"/>
  <c r="AA457" i="3"/>
  <c r="AC457" i="3"/>
  <c r="P457" i="3"/>
  <c r="Q457" i="3" s="1"/>
  <c r="R457" i="3" s="1"/>
  <c r="S457" i="3" s="1"/>
  <c r="Z457" i="3"/>
  <c r="L456" i="3"/>
  <c r="W456" i="3"/>
  <c r="T457" i="3" l="1"/>
  <c r="AH457" i="3" s="1"/>
  <c r="U456" i="3"/>
  <c r="Y455" i="3"/>
  <c r="E457" i="3" l="1"/>
  <c r="H457" i="3" s="1"/>
  <c r="K457" i="3" s="1"/>
  <c r="AE457" i="3" s="1"/>
  <c r="D457" i="3"/>
  <c r="AG457" i="3"/>
  <c r="F457" i="3" l="1"/>
  <c r="G457" i="3"/>
  <c r="I457" i="3" s="1"/>
  <c r="V457" i="3"/>
  <c r="A458" i="3"/>
  <c r="B458" i="3" s="1"/>
  <c r="J457" i="3" l="1"/>
  <c r="L457" i="3" s="1"/>
  <c r="M457" i="3"/>
  <c r="N457" i="3" s="1"/>
  <c r="AA458" i="3"/>
  <c r="P458" i="3"/>
  <c r="Q458" i="3" s="1"/>
  <c r="R458" i="3" s="1"/>
  <c r="S458" i="3" s="1"/>
  <c r="Z458" i="3"/>
  <c r="AD458" i="3"/>
  <c r="AC458" i="3"/>
  <c r="W457" i="3"/>
  <c r="T458" i="3" l="1"/>
  <c r="AH458" i="3" s="1"/>
  <c r="U457" i="3"/>
  <c r="Y456" i="3"/>
  <c r="E458" i="3" l="1"/>
  <c r="H458" i="3" s="1"/>
  <c r="K458" i="3" s="1"/>
  <c r="AE458" i="3" s="1"/>
  <c r="AG458" i="3"/>
  <c r="D458" i="3"/>
  <c r="F458" i="3" l="1"/>
  <c r="G458" i="3"/>
  <c r="V458" i="3"/>
  <c r="A459" i="3"/>
  <c r="B459" i="3" s="1"/>
  <c r="AA459" i="3" l="1"/>
  <c r="AD459" i="3"/>
  <c r="AC459" i="3"/>
  <c r="P459" i="3"/>
  <c r="Q459" i="3" s="1"/>
  <c r="R459" i="3" s="1"/>
  <c r="S459" i="3" s="1"/>
  <c r="Z459" i="3"/>
  <c r="I458" i="3"/>
  <c r="W458" i="3" s="1"/>
  <c r="J458" i="3"/>
  <c r="M458" i="3"/>
  <c r="N458" i="3" s="1"/>
  <c r="T459" i="3" l="1"/>
  <c r="L458" i="3"/>
  <c r="AG459" i="3" l="1"/>
  <c r="AH459" i="3"/>
  <c r="U458" i="3"/>
  <c r="D459" i="3" s="1"/>
  <c r="Y457" i="3"/>
  <c r="E459" i="3" l="1"/>
  <c r="H459" i="3" s="1"/>
  <c r="K459" i="3" s="1"/>
  <c r="AE459" i="3" s="1"/>
  <c r="G459" i="3"/>
  <c r="F459" i="3" l="1"/>
  <c r="V459" i="3"/>
  <c r="A460" i="3"/>
  <c r="B460" i="3" s="1"/>
  <c r="I459" i="3"/>
  <c r="J459" i="3"/>
  <c r="M459" i="3"/>
  <c r="N459" i="3" s="1"/>
  <c r="W459" i="3" l="1"/>
  <c r="L459" i="3"/>
  <c r="AD460" i="3"/>
  <c r="AC460" i="3"/>
  <c r="Z460" i="3"/>
  <c r="AA460" i="3"/>
  <c r="P460" i="3"/>
  <c r="Q460" i="3" s="1"/>
  <c r="R460" i="3" s="1"/>
  <c r="S460" i="3" s="1"/>
  <c r="U459" i="3" l="1"/>
  <c r="Y458" i="3"/>
  <c r="T460" i="3"/>
  <c r="AG460" i="3" s="1"/>
  <c r="E460" i="3" l="1"/>
  <c r="H460" i="3" s="1"/>
  <c r="K460" i="3" s="1"/>
  <c r="AE460" i="3" s="1"/>
  <c r="AH460" i="3"/>
  <c r="D460" i="3"/>
  <c r="F460" i="3" l="1"/>
  <c r="G460" i="3"/>
  <c r="I460" i="3" s="1"/>
  <c r="V460" i="3"/>
  <c r="A461" i="3"/>
  <c r="B461" i="3" s="1"/>
  <c r="M460" i="3" l="1"/>
  <c r="N460" i="3" s="1"/>
  <c r="J460" i="3"/>
  <c r="L460" i="3" s="1"/>
  <c r="W460" i="3"/>
  <c r="Z461" i="3"/>
  <c r="P461" i="3"/>
  <c r="Q461" i="3" s="1"/>
  <c r="R461" i="3" s="1"/>
  <c r="S461" i="3" s="1"/>
  <c r="AC461" i="3"/>
  <c r="AD461" i="3"/>
  <c r="AA461" i="3"/>
  <c r="T461" i="3" l="1"/>
  <c r="AH461" i="3" s="1"/>
  <c r="U460" i="3"/>
  <c r="Y459" i="3"/>
  <c r="E461" i="3" l="1"/>
  <c r="H461" i="3" s="1"/>
  <c r="K461" i="3" s="1"/>
  <c r="AE461" i="3" s="1"/>
  <c r="D461" i="3"/>
  <c r="AG461" i="3"/>
  <c r="F461" i="3" l="1"/>
  <c r="G461" i="3"/>
  <c r="I461" i="3" s="1"/>
  <c r="V461" i="3"/>
  <c r="A462" i="3"/>
  <c r="B462" i="3" s="1"/>
  <c r="M461" i="3" l="1"/>
  <c r="N461" i="3" s="1"/>
  <c r="J461" i="3"/>
  <c r="L461" i="3" s="1"/>
  <c r="W461" i="3"/>
  <c r="AA462" i="3"/>
  <c r="AC462" i="3"/>
  <c r="AD462" i="3"/>
  <c r="Z462" i="3"/>
  <c r="P462" i="3"/>
  <c r="Q462" i="3" s="1"/>
  <c r="R462" i="3" s="1"/>
  <c r="S462" i="3" s="1"/>
  <c r="T462" i="3" l="1"/>
  <c r="AH462" i="3" s="1"/>
  <c r="U461" i="3"/>
  <c r="Y460" i="3"/>
  <c r="AG462" i="3" l="1"/>
  <c r="E462" i="3"/>
  <c r="H462" i="3" s="1"/>
  <c r="K462" i="3" s="1"/>
  <c r="AE462" i="3" s="1"/>
  <c r="D462" i="3"/>
  <c r="G462" i="3" s="1"/>
  <c r="F462" i="3" l="1"/>
  <c r="I462" i="3"/>
  <c r="J462" i="3"/>
  <c r="M462" i="3"/>
  <c r="N462" i="3" s="1"/>
  <c r="V462" i="3"/>
  <c r="A463" i="3"/>
  <c r="B463" i="3" s="1"/>
  <c r="W462" i="3" l="1"/>
  <c r="AC463" i="3"/>
  <c r="Z463" i="3"/>
  <c r="P463" i="3"/>
  <c r="Q463" i="3" s="1"/>
  <c r="R463" i="3" s="1"/>
  <c r="S463" i="3" s="1"/>
  <c r="AA463" i="3"/>
  <c r="AD463" i="3"/>
  <c r="L462" i="3"/>
  <c r="T463" i="3" l="1"/>
  <c r="AH463" i="3" s="1"/>
  <c r="U462" i="3"/>
  <c r="Y461" i="3"/>
  <c r="D463" i="3" l="1"/>
  <c r="G463" i="3" s="1"/>
  <c r="E463" i="3"/>
  <c r="H463" i="3" s="1"/>
  <c r="K463" i="3" s="1"/>
  <c r="AE463" i="3" s="1"/>
  <c r="AG463" i="3"/>
  <c r="F463" i="3" l="1"/>
  <c r="V463" i="3"/>
  <c r="A464" i="3"/>
  <c r="B464" i="3" s="1"/>
  <c r="I463" i="3"/>
  <c r="J463" i="3"/>
  <c r="M463" i="3"/>
  <c r="N463" i="3" s="1"/>
  <c r="AA464" i="3" l="1"/>
  <c r="P464" i="3"/>
  <c r="Q464" i="3" s="1"/>
  <c r="R464" i="3" s="1"/>
  <c r="S464" i="3" s="1"/>
  <c r="AD464" i="3"/>
  <c r="AC464" i="3"/>
  <c r="Z464" i="3"/>
  <c r="L463" i="3"/>
  <c r="W463" i="3"/>
  <c r="T464" i="3" l="1"/>
  <c r="AH464" i="3" s="1"/>
  <c r="U463" i="3"/>
  <c r="Y462" i="3"/>
  <c r="E464" i="3" l="1"/>
  <c r="H464" i="3" s="1"/>
  <c r="K464" i="3" s="1"/>
  <c r="AE464" i="3" s="1"/>
  <c r="AG464" i="3"/>
  <c r="D464" i="3"/>
  <c r="F464" i="3" l="1"/>
  <c r="G464" i="3"/>
  <c r="I464" i="3" s="1"/>
  <c r="V464" i="3"/>
  <c r="A465" i="3"/>
  <c r="B465" i="3" s="1"/>
  <c r="M464" i="3" l="1"/>
  <c r="N464" i="3" s="1"/>
  <c r="J464" i="3"/>
  <c r="L464" i="3" s="1"/>
  <c r="AD465" i="3"/>
  <c r="AA465" i="3"/>
  <c r="Z465" i="3"/>
  <c r="AC465" i="3"/>
  <c r="P465" i="3"/>
  <c r="Q465" i="3" s="1"/>
  <c r="R465" i="3" s="1"/>
  <c r="S465" i="3" s="1"/>
  <c r="W464" i="3"/>
  <c r="T465" i="3" l="1"/>
  <c r="AH465" i="3" s="1"/>
  <c r="U464" i="3"/>
  <c r="Y463" i="3"/>
  <c r="AG465" i="3" l="1"/>
  <c r="E465" i="3"/>
  <c r="H465" i="3" s="1"/>
  <c r="K465" i="3" s="1"/>
  <c r="AE465" i="3" s="1"/>
  <c r="D465" i="3"/>
  <c r="F465" i="3" l="1"/>
  <c r="G465" i="3"/>
  <c r="J465" i="3" s="1"/>
  <c r="V465" i="3"/>
  <c r="A466" i="3"/>
  <c r="B466" i="3" s="1"/>
  <c r="M465" i="3" l="1"/>
  <c r="N465" i="3" s="1"/>
  <c r="I465" i="3"/>
  <c r="W465" i="3" s="1"/>
  <c r="L465" i="3"/>
  <c r="Z466" i="3"/>
  <c r="AA466" i="3"/>
  <c r="P466" i="3"/>
  <c r="Q466" i="3" s="1"/>
  <c r="R466" i="3" s="1"/>
  <c r="S466" i="3" s="1"/>
  <c r="AD466" i="3"/>
  <c r="AC466" i="3"/>
  <c r="T466" i="3" l="1"/>
  <c r="AH466" i="3" s="1"/>
  <c r="U465" i="3"/>
  <c r="Y464" i="3"/>
  <c r="E466" i="3" l="1"/>
  <c r="H466" i="3" s="1"/>
  <c r="K466" i="3" s="1"/>
  <c r="AE466" i="3" s="1"/>
  <c r="AG466" i="3"/>
  <c r="D466" i="3"/>
  <c r="F466" i="3" l="1"/>
  <c r="G466" i="3"/>
  <c r="J466" i="3" s="1"/>
  <c r="V466" i="3"/>
  <c r="A467" i="3"/>
  <c r="B467" i="3" s="1"/>
  <c r="M466" i="3" l="1"/>
  <c r="N466" i="3" s="1"/>
  <c r="I466" i="3"/>
  <c r="W466" i="3" s="1"/>
  <c r="L466" i="3"/>
  <c r="AA467" i="3"/>
  <c r="AD467" i="3"/>
  <c r="Z467" i="3"/>
  <c r="P467" i="3"/>
  <c r="Q467" i="3" s="1"/>
  <c r="R467" i="3" s="1"/>
  <c r="S467" i="3" s="1"/>
  <c r="AC467" i="3"/>
  <c r="T467" i="3" l="1"/>
  <c r="AH467" i="3" s="1"/>
  <c r="U466" i="3"/>
  <c r="Y465" i="3"/>
  <c r="D467" i="3" l="1"/>
  <c r="G467" i="3" s="1"/>
  <c r="AG467" i="3"/>
  <c r="E467" i="3"/>
  <c r="H467" i="3" s="1"/>
  <c r="K467" i="3" s="1"/>
  <c r="AE467" i="3" s="1"/>
  <c r="F467" i="3" l="1"/>
  <c r="V467" i="3"/>
  <c r="A468" i="3"/>
  <c r="B468" i="3" s="1"/>
  <c r="I467" i="3"/>
  <c r="J467" i="3"/>
  <c r="M467" i="3"/>
  <c r="N467" i="3" s="1"/>
  <c r="L467" i="3" l="1"/>
  <c r="AC468" i="3"/>
  <c r="Z468" i="3"/>
  <c r="P468" i="3"/>
  <c r="Q468" i="3" s="1"/>
  <c r="R468" i="3" s="1"/>
  <c r="S468" i="3" s="1"/>
  <c r="AA468" i="3"/>
  <c r="AD468" i="3"/>
  <c r="W467" i="3"/>
  <c r="T468" i="3" l="1"/>
  <c r="U467" i="3"/>
  <c r="Y466" i="3"/>
  <c r="D468" i="3" l="1"/>
  <c r="G468" i="3" s="1"/>
  <c r="E468" i="3"/>
  <c r="H468" i="3" s="1"/>
  <c r="K468" i="3" s="1"/>
  <c r="AE468" i="3" s="1"/>
  <c r="AG468" i="3"/>
  <c r="AH468" i="3"/>
  <c r="F468" i="3" l="1"/>
  <c r="V468" i="3"/>
  <c r="A469" i="3"/>
  <c r="B469" i="3" s="1"/>
  <c r="I468" i="3"/>
  <c r="J468" i="3"/>
  <c r="M468" i="3"/>
  <c r="N468" i="3" s="1"/>
  <c r="Z469" i="3" l="1"/>
  <c r="AD469" i="3"/>
  <c r="AA469" i="3"/>
  <c r="AC469" i="3"/>
  <c r="P469" i="3"/>
  <c r="Q469" i="3" s="1"/>
  <c r="R469" i="3" s="1"/>
  <c r="S469" i="3" s="1"/>
  <c r="L468" i="3"/>
  <c r="W468" i="3"/>
  <c r="U468" i="3" l="1"/>
  <c r="Y467" i="3"/>
  <c r="T469" i="3"/>
  <c r="AG469" i="3" s="1"/>
  <c r="E469" i="3" l="1"/>
  <c r="H469" i="3" s="1"/>
  <c r="K469" i="3" s="1"/>
  <c r="AE469" i="3" s="1"/>
  <c r="D469" i="3"/>
  <c r="AH469" i="3"/>
  <c r="F469" i="3" l="1"/>
  <c r="G469" i="3"/>
  <c r="I469" i="3" s="1"/>
  <c r="V469" i="3"/>
  <c r="A470" i="3"/>
  <c r="B470" i="3" s="1"/>
  <c r="M469" i="3" l="1"/>
  <c r="N469" i="3" s="1"/>
  <c r="J469" i="3"/>
  <c r="L469" i="3" s="1"/>
  <c r="AA470" i="3"/>
  <c r="Z470" i="3"/>
  <c r="AD470" i="3"/>
  <c r="AC470" i="3"/>
  <c r="P470" i="3"/>
  <c r="Q470" i="3" s="1"/>
  <c r="R470" i="3" s="1"/>
  <c r="S470" i="3" s="1"/>
  <c r="W469" i="3"/>
  <c r="U469" i="3" l="1"/>
  <c r="Y468" i="3"/>
  <c r="T470" i="3"/>
  <c r="E470" i="3" l="1"/>
  <c r="H470" i="3" s="1"/>
  <c r="K470" i="3" s="1"/>
  <c r="AE470" i="3" s="1"/>
  <c r="AH470" i="3"/>
  <c r="D470" i="3"/>
  <c r="AG470" i="3"/>
  <c r="F470" i="3" l="1"/>
  <c r="G470" i="3"/>
  <c r="V470" i="3"/>
  <c r="A471" i="3"/>
  <c r="B471" i="3" s="1"/>
  <c r="Z471" i="3" l="1"/>
  <c r="AA471" i="3"/>
  <c r="AD471" i="3"/>
  <c r="AC471" i="3"/>
  <c r="P471" i="3"/>
  <c r="Q471" i="3" s="1"/>
  <c r="R471" i="3" s="1"/>
  <c r="S471" i="3" s="1"/>
  <c r="I470" i="3"/>
  <c r="W470" i="3" s="1"/>
  <c r="J470" i="3"/>
  <c r="M470" i="3"/>
  <c r="N470" i="3" s="1"/>
  <c r="T471" i="3" l="1"/>
  <c r="L470" i="3"/>
  <c r="U470" i="3" l="1"/>
  <c r="E471" i="3" s="1"/>
  <c r="H471" i="3" s="1"/>
  <c r="AG471" i="3"/>
  <c r="AH471" i="3"/>
  <c r="Y469" i="3"/>
  <c r="D471" i="3" l="1"/>
  <c r="F471" i="3" s="1"/>
  <c r="K471" i="3"/>
  <c r="AE471" i="3" s="1"/>
  <c r="G471" i="3" l="1"/>
  <c r="I471" i="3" s="1"/>
  <c r="V471" i="3"/>
  <c r="A472" i="3"/>
  <c r="B472" i="3" s="1"/>
  <c r="M471" i="3" l="1"/>
  <c r="N471" i="3" s="1"/>
  <c r="J471" i="3"/>
  <c r="L471" i="3" s="1"/>
  <c r="W471" i="3"/>
  <c r="P472" i="3"/>
  <c r="Q472" i="3" s="1"/>
  <c r="R472" i="3" s="1"/>
  <c r="S472" i="3" s="1"/>
  <c r="AD472" i="3"/>
  <c r="AA472" i="3"/>
  <c r="AC472" i="3"/>
  <c r="Z472" i="3"/>
  <c r="U471" i="3" l="1"/>
  <c r="Y470" i="3"/>
  <c r="T472" i="3"/>
  <c r="AH472" i="3" s="1"/>
  <c r="D472" i="3" l="1"/>
  <c r="E472" i="3"/>
  <c r="H472" i="3" s="1"/>
  <c r="AG472" i="3"/>
  <c r="K472" i="3" l="1"/>
  <c r="AE472" i="3" s="1"/>
  <c r="F472" i="3"/>
  <c r="G472" i="3"/>
  <c r="I472" i="3" l="1"/>
  <c r="J472" i="3"/>
  <c r="M472" i="3"/>
  <c r="N472" i="3" s="1"/>
  <c r="V472" i="3"/>
  <c r="A473" i="3"/>
  <c r="B473" i="3" s="1"/>
  <c r="W472" i="3" l="1"/>
  <c r="Z473" i="3"/>
  <c r="AA473" i="3"/>
  <c r="AD473" i="3"/>
  <c r="AC473" i="3"/>
  <c r="P473" i="3"/>
  <c r="Q473" i="3" s="1"/>
  <c r="R473" i="3" s="1"/>
  <c r="S473" i="3" s="1"/>
  <c r="L472" i="3"/>
  <c r="T473" i="3" l="1"/>
  <c r="AH473" i="3" s="1"/>
  <c r="U472" i="3"/>
  <c r="Y471" i="3"/>
  <c r="D473" i="3" l="1"/>
  <c r="G473" i="3" s="1"/>
  <c r="AG473" i="3"/>
  <c r="E473" i="3"/>
  <c r="H473" i="3" s="1"/>
  <c r="K473" i="3" l="1"/>
  <c r="AE473" i="3" s="1"/>
  <c r="I473" i="3"/>
  <c r="J473" i="3"/>
  <c r="M473" i="3"/>
  <c r="N473" i="3" s="1"/>
  <c r="F473" i="3"/>
  <c r="L473" i="3" l="1"/>
  <c r="V473" i="3"/>
  <c r="W473" i="3" s="1"/>
  <c r="A474" i="3"/>
  <c r="B474" i="3" s="1"/>
  <c r="Z474" i="3" l="1"/>
  <c r="AA474" i="3"/>
  <c r="P474" i="3"/>
  <c r="Q474" i="3" s="1"/>
  <c r="R474" i="3" s="1"/>
  <c r="S474" i="3" s="1"/>
  <c r="AC474" i="3"/>
  <c r="AD474" i="3"/>
  <c r="U473" i="3"/>
  <c r="Y472" i="3"/>
  <c r="T474" i="3" l="1"/>
  <c r="AH474" i="3" s="1"/>
  <c r="D474" i="3" l="1"/>
  <c r="E474" i="3"/>
  <c r="H474" i="3" s="1"/>
  <c r="AG474" i="3"/>
  <c r="K474" i="3" l="1"/>
  <c r="AE474" i="3" s="1"/>
  <c r="F474" i="3"/>
  <c r="G474" i="3"/>
  <c r="I474" i="3" l="1"/>
  <c r="J474" i="3"/>
  <c r="M474" i="3"/>
  <c r="N474" i="3" s="1"/>
  <c r="V474" i="3"/>
  <c r="A475" i="3"/>
  <c r="B475" i="3" s="1"/>
  <c r="W474" i="3" l="1"/>
  <c r="P475" i="3"/>
  <c r="Q475" i="3" s="1"/>
  <c r="R475" i="3" s="1"/>
  <c r="S475" i="3" s="1"/>
  <c r="AC475" i="3"/>
  <c r="AD475" i="3"/>
  <c r="AA475" i="3"/>
  <c r="Z475" i="3"/>
  <c r="L474" i="3"/>
  <c r="U474" i="3" l="1"/>
  <c r="Y473" i="3"/>
  <c r="T475" i="3"/>
  <c r="D475" i="3" l="1"/>
  <c r="G475" i="3" s="1"/>
  <c r="AH475" i="3"/>
  <c r="AG475" i="3"/>
  <c r="E475" i="3"/>
  <c r="H475" i="3" s="1"/>
  <c r="K475" i="3" l="1"/>
  <c r="AE475" i="3" s="1"/>
  <c r="I475" i="3"/>
  <c r="J475" i="3"/>
  <c r="M475" i="3"/>
  <c r="N475" i="3" s="1"/>
  <c r="F475" i="3"/>
  <c r="L475" i="3" l="1"/>
  <c r="V475" i="3"/>
  <c r="W475" i="3" s="1"/>
  <c r="A476" i="3"/>
  <c r="B476" i="3" s="1"/>
  <c r="AA476" i="3" l="1"/>
  <c r="AD476" i="3"/>
  <c r="AC476" i="3"/>
  <c r="P476" i="3"/>
  <c r="Q476" i="3" s="1"/>
  <c r="R476" i="3" s="1"/>
  <c r="S476" i="3" s="1"/>
  <c r="Z476" i="3"/>
  <c r="U475" i="3"/>
  <c r="Y474" i="3"/>
  <c r="T476" i="3" l="1"/>
  <c r="E476" i="3" s="1"/>
  <c r="H476" i="3" s="1"/>
  <c r="D476" i="3" l="1"/>
  <c r="F476" i="3" s="1"/>
  <c r="AG476" i="3"/>
  <c r="AH476" i="3"/>
  <c r="K476" i="3"/>
  <c r="AE476" i="3" s="1"/>
  <c r="G476" i="3" l="1"/>
  <c r="I476" i="3" s="1"/>
  <c r="V476" i="3"/>
  <c r="A477" i="3"/>
  <c r="B477" i="3" s="1"/>
  <c r="M476" i="3" l="1"/>
  <c r="N476" i="3" s="1"/>
  <c r="J476" i="3"/>
  <c r="L476" i="3" s="1"/>
  <c r="W476" i="3"/>
  <c r="AA477" i="3"/>
  <c r="AD477" i="3"/>
  <c r="AC477" i="3"/>
  <c r="P477" i="3"/>
  <c r="Q477" i="3" s="1"/>
  <c r="R477" i="3" s="1"/>
  <c r="S477" i="3" s="1"/>
  <c r="Z477" i="3"/>
  <c r="T477" i="3" l="1"/>
  <c r="AG477" i="3" s="1"/>
  <c r="U476" i="3"/>
  <c r="Y475" i="3"/>
  <c r="D477" i="3" l="1"/>
  <c r="G477" i="3" s="1"/>
  <c r="AH477" i="3"/>
  <c r="E477" i="3"/>
  <c r="H477" i="3" s="1"/>
  <c r="K477" i="3" s="1"/>
  <c r="AE477" i="3" s="1"/>
  <c r="F477" i="3" l="1"/>
  <c r="V477" i="3"/>
  <c r="A478" i="3"/>
  <c r="B478" i="3" s="1"/>
  <c r="I477" i="3"/>
  <c r="J477" i="3"/>
  <c r="M477" i="3"/>
  <c r="N477" i="3" s="1"/>
  <c r="L477" i="3" l="1"/>
  <c r="AC478" i="3"/>
  <c r="Z478" i="3"/>
  <c r="AA478" i="3"/>
  <c r="AD478" i="3"/>
  <c r="P478" i="3"/>
  <c r="Q478" i="3" s="1"/>
  <c r="R478" i="3" s="1"/>
  <c r="S478" i="3" s="1"/>
  <c r="W477" i="3"/>
  <c r="T478" i="3" l="1"/>
  <c r="AH478" i="3" s="1"/>
  <c r="U477" i="3"/>
  <c r="Y476" i="3"/>
  <c r="AG478" i="3" l="1"/>
  <c r="D478" i="3"/>
  <c r="G478" i="3" s="1"/>
  <c r="E478" i="3"/>
  <c r="H478" i="3" s="1"/>
  <c r="K478" i="3" s="1"/>
  <c r="AE478" i="3" s="1"/>
  <c r="F478" i="3" l="1"/>
  <c r="V478" i="3"/>
  <c r="A479" i="3"/>
  <c r="B479" i="3" s="1"/>
  <c r="I478" i="3"/>
  <c r="J478" i="3"/>
  <c r="M478" i="3"/>
  <c r="N478" i="3" s="1"/>
  <c r="AD479" i="3" l="1"/>
  <c r="P479" i="3"/>
  <c r="Q479" i="3" s="1"/>
  <c r="R479" i="3" s="1"/>
  <c r="S479" i="3" s="1"/>
  <c r="AA479" i="3"/>
  <c r="Z479" i="3"/>
  <c r="AC479" i="3"/>
  <c r="L478" i="3"/>
  <c r="W478" i="3"/>
  <c r="T479" i="3" l="1"/>
  <c r="AG479" i="3" s="1"/>
  <c r="U478" i="3"/>
  <c r="Y477" i="3"/>
  <c r="AH479" i="3" l="1"/>
  <c r="D479" i="3"/>
  <c r="G479" i="3" s="1"/>
  <c r="E479" i="3"/>
  <c r="H479" i="3" s="1"/>
  <c r="K479" i="3" s="1"/>
  <c r="AE479" i="3" s="1"/>
  <c r="F479" i="3" l="1"/>
  <c r="V479" i="3"/>
  <c r="A480" i="3"/>
  <c r="B480" i="3" s="1"/>
  <c r="I479" i="3"/>
  <c r="J479" i="3"/>
  <c r="M479" i="3"/>
  <c r="N479" i="3" s="1"/>
  <c r="P480" i="3" l="1"/>
  <c r="Q480" i="3" s="1"/>
  <c r="R480" i="3" s="1"/>
  <c r="S480" i="3" s="1"/>
  <c r="AA480" i="3"/>
  <c r="AC480" i="3"/>
  <c r="AD480" i="3"/>
  <c r="Z480" i="3"/>
  <c r="L479" i="3"/>
  <c r="W479" i="3"/>
  <c r="U479" i="3" l="1"/>
  <c r="Y478" i="3"/>
  <c r="T480" i="3"/>
  <c r="AH480" i="3" s="1"/>
  <c r="D480" i="3" l="1"/>
  <c r="AG480" i="3"/>
  <c r="E480" i="3"/>
  <c r="H480" i="3" s="1"/>
  <c r="K480" i="3" l="1"/>
  <c r="AE480" i="3" s="1"/>
  <c r="F480" i="3"/>
  <c r="G480" i="3"/>
  <c r="I480" i="3" l="1"/>
  <c r="J480" i="3"/>
  <c r="M480" i="3"/>
  <c r="N480" i="3" s="1"/>
  <c r="V480" i="3"/>
  <c r="A481" i="3"/>
  <c r="B481" i="3" s="1"/>
  <c r="W480" i="3" l="1"/>
  <c r="AA481" i="3"/>
  <c r="AD481" i="3"/>
  <c r="Z481" i="3"/>
  <c r="AC481" i="3"/>
  <c r="P481" i="3"/>
  <c r="Q481" i="3" s="1"/>
  <c r="R481" i="3" s="1"/>
  <c r="S481" i="3" s="1"/>
  <c r="L480" i="3"/>
  <c r="U480" i="3" l="1"/>
  <c r="Y479" i="3"/>
  <c r="T481" i="3"/>
  <c r="E481" i="3" l="1"/>
  <c r="H481" i="3" s="1"/>
  <c r="K481" i="3" s="1"/>
  <c r="AE481" i="3" s="1"/>
  <c r="AG481" i="3"/>
  <c r="D481" i="3"/>
  <c r="AH481" i="3"/>
  <c r="F481" i="3" l="1"/>
  <c r="G481" i="3"/>
  <c r="I481" i="3" s="1"/>
  <c r="V481" i="3"/>
  <c r="A482" i="3"/>
  <c r="B482" i="3" s="1"/>
  <c r="W481" i="3" l="1"/>
  <c r="J481" i="3"/>
  <c r="L481" i="3" s="1"/>
  <c r="M481" i="3"/>
  <c r="N481" i="3" s="1"/>
  <c r="Z482" i="3"/>
  <c r="AD482" i="3"/>
  <c r="AC482" i="3"/>
  <c r="AA482" i="3"/>
  <c r="P482" i="3"/>
  <c r="Q482" i="3" s="1"/>
  <c r="R482" i="3" s="1"/>
  <c r="S482" i="3" s="1"/>
  <c r="T482" i="3" l="1"/>
  <c r="AG482" i="3" s="1"/>
  <c r="U481" i="3"/>
  <c r="Y480" i="3"/>
  <c r="D482" i="3" l="1"/>
  <c r="G482" i="3" s="1"/>
  <c r="E482" i="3"/>
  <c r="H482" i="3" s="1"/>
  <c r="K482" i="3" s="1"/>
  <c r="AE482" i="3" s="1"/>
  <c r="AH482" i="3"/>
  <c r="F482" i="3" l="1"/>
  <c r="I482" i="3"/>
  <c r="J482" i="3"/>
  <c r="M482" i="3"/>
  <c r="N482" i="3" s="1"/>
  <c r="V482" i="3"/>
  <c r="A483" i="3"/>
  <c r="B483" i="3" s="1"/>
  <c r="W482" i="3" l="1"/>
  <c r="L482" i="3"/>
  <c r="AA483" i="3"/>
  <c r="P483" i="3"/>
  <c r="Q483" i="3" s="1"/>
  <c r="R483" i="3" s="1"/>
  <c r="S483" i="3" s="1"/>
  <c r="AC483" i="3"/>
  <c r="AD483" i="3"/>
  <c r="Z483" i="3"/>
  <c r="T483" i="3" l="1"/>
  <c r="AG483" i="3" s="1"/>
  <c r="U482" i="3"/>
  <c r="Y481" i="3"/>
  <c r="AH483" i="3" l="1"/>
  <c r="D483" i="3"/>
  <c r="G483" i="3" s="1"/>
  <c r="E483" i="3"/>
  <c r="H483" i="3" s="1"/>
  <c r="K483" i="3" l="1"/>
  <c r="AE483" i="3" s="1"/>
  <c r="I483" i="3"/>
  <c r="J483" i="3"/>
  <c r="M483" i="3"/>
  <c r="N483" i="3" s="1"/>
  <c r="F483" i="3"/>
  <c r="V483" i="3" l="1"/>
  <c r="W483" i="3" s="1"/>
  <c r="A484" i="3"/>
  <c r="B484" i="3" s="1"/>
  <c r="L483" i="3"/>
  <c r="Z484" i="3" l="1"/>
  <c r="AD484" i="3"/>
  <c r="AC484" i="3"/>
  <c r="AA484" i="3"/>
  <c r="P484" i="3"/>
  <c r="Q484" i="3" s="1"/>
  <c r="R484" i="3" s="1"/>
  <c r="S484" i="3" s="1"/>
  <c r="U483" i="3"/>
  <c r="Y482" i="3"/>
  <c r="T484" i="3" l="1"/>
  <c r="AG484" i="3" s="1"/>
  <c r="E484" i="3" l="1"/>
  <c r="H484" i="3" s="1"/>
  <c r="K484" i="3" s="1"/>
  <c r="AE484" i="3" s="1"/>
  <c r="AH484" i="3"/>
  <c r="D484" i="3"/>
  <c r="F484" i="3" l="1"/>
  <c r="G484" i="3"/>
  <c r="V484" i="3"/>
  <c r="A485" i="3"/>
  <c r="B485" i="3" s="1"/>
  <c r="AC485" i="3" l="1"/>
  <c r="Z485" i="3"/>
  <c r="P485" i="3"/>
  <c r="Q485" i="3" s="1"/>
  <c r="R485" i="3" s="1"/>
  <c r="S485" i="3" s="1"/>
  <c r="AD485" i="3"/>
  <c r="AA485" i="3"/>
  <c r="I484" i="3"/>
  <c r="W484" i="3" s="1"/>
  <c r="J484" i="3"/>
  <c r="M484" i="3"/>
  <c r="N484" i="3" s="1"/>
  <c r="T485" i="3" l="1"/>
  <c r="L484" i="3"/>
  <c r="AH485" i="3" l="1"/>
  <c r="U484" i="3"/>
  <c r="D485" i="3" s="1"/>
  <c r="AG485" i="3"/>
  <c r="Y483" i="3"/>
  <c r="E485" i="3" l="1"/>
  <c r="H485" i="3" s="1"/>
  <c r="K485" i="3" s="1"/>
  <c r="AE485" i="3" s="1"/>
  <c r="G485" i="3"/>
  <c r="F485" i="3" l="1"/>
  <c r="V485" i="3"/>
  <c r="A486" i="3"/>
  <c r="B486" i="3" s="1"/>
  <c r="I485" i="3"/>
  <c r="J485" i="3"/>
  <c r="M485" i="3"/>
  <c r="N485" i="3" s="1"/>
  <c r="L485" i="3" l="1"/>
  <c r="AC486" i="3"/>
  <c r="AD486" i="3"/>
  <c r="Z486" i="3"/>
  <c r="P486" i="3"/>
  <c r="Q486" i="3" s="1"/>
  <c r="R486" i="3" s="1"/>
  <c r="S486" i="3" s="1"/>
  <c r="AA486" i="3"/>
  <c r="W485" i="3"/>
  <c r="T486" i="3" l="1"/>
  <c r="AG486" i="3" s="1"/>
  <c r="U485" i="3"/>
  <c r="Y484" i="3"/>
  <c r="D486" i="3" l="1"/>
  <c r="G486" i="3" s="1"/>
  <c r="E486" i="3"/>
  <c r="H486" i="3" s="1"/>
  <c r="K486" i="3" s="1"/>
  <c r="AE486" i="3" s="1"/>
  <c r="AH486" i="3"/>
  <c r="F486" i="3" l="1"/>
  <c r="I486" i="3"/>
  <c r="J486" i="3"/>
  <c r="M486" i="3"/>
  <c r="N486" i="3" s="1"/>
  <c r="V486" i="3"/>
  <c r="A487" i="3"/>
  <c r="B487" i="3" s="1"/>
  <c r="W486" i="3" l="1"/>
  <c r="Z487" i="3"/>
  <c r="AA487" i="3"/>
  <c r="AD487" i="3"/>
  <c r="AC487" i="3"/>
  <c r="P487" i="3"/>
  <c r="Q487" i="3" s="1"/>
  <c r="R487" i="3" s="1"/>
  <c r="S487" i="3" s="1"/>
  <c r="L486" i="3"/>
  <c r="T487" i="3" l="1"/>
  <c r="AG487" i="3" s="1"/>
  <c r="U486" i="3"/>
  <c r="Y485" i="3"/>
  <c r="AH487" i="3" l="1"/>
  <c r="D487" i="3"/>
  <c r="G487" i="3" s="1"/>
  <c r="E487" i="3"/>
  <c r="H487" i="3" s="1"/>
  <c r="K487" i="3" s="1"/>
  <c r="AE487" i="3" s="1"/>
  <c r="F487" i="3" l="1"/>
  <c r="I487" i="3"/>
  <c r="J487" i="3"/>
  <c r="M487" i="3"/>
  <c r="N487" i="3" s="1"/>
  <c r="V487" i="3"/>
  <c r="A488" i="3"/>
  <c r="B488" i="3" s="1"/>
  <c r="W487" i="3" l="1"/>
  <c r="AA488" i="3"/>
  <c r="Z488" i="3"/>
  <c r="AC488" i="3"/>
  <c r="AD488" i="3"/>
  <c r="P488" i="3"/>
  <c r="Q488" i="3" s="1"/>
  <c r="R488" i="3" s="1"/>
  <c r="S488" i="3" s="1"/>
  <c r="L487" i="3"/>
  <c r="T488" i="3" l="1"/>
  <c r="AH488" i="3" s="1"/>
  <c r="U487" i="3"/>
  <c r="Y486" i="3"/>
  <c r="E488" i="3" l="1"/>
  <c r="H488" i="3" s="1"/>
  <c r="K488" i="3" s="1"/>
  <c r="AE488" i="3" s="1"/>
  <c r="AG488" i="3"/>
  <c r="D488" i="3"/>
  <c r="F488" i="3" l="1"/>
  <c r="G488" i="3"/>
  <c r="I488" i="3" s="1"/>
  <c r="V488" i="3"/>
  <c r="A489" i="3"/>
  <c r="B489" i="3" s="1"/>
  <c r="M488" i="3" l="1"/>
  <c r="N488" i="3" s="1"/>
  <c r="J488" i="3"/>
  <c r="L488" i="3" s="1"/>
  <c r="Z489" i="3"/>
  <c r="AC489" i="3"/>
  <c r="AA489" i="3"/>
  <c r="AD489" i="3"/>
  <c r="P489" i="3"/>
  <c r="Q489" i="3" s="1"/>
  <c r="R489" i="3" s="1"/>
  <c r="S489" i="3" s="1"/>
  <c r="W488" i="3"/>
  <c r="T489" i="3" l="1"/>
  <c r="AH489" i="3" s="1"/>
  <c r="U488" i="3"/>
  <c r="Y487" i="3"/>
  <c r="AG489" i="3" l="1"/>
  <c r="E489" i="3"/>
  <c r="H489" i="3" s="1"/>
  <c r="K489" i="3" s="1"/>
  <c r="AE489" i="3" s="1"/>
  <c r="D489" i="3"/>
  <c r="G489" i="3" s="1"/>
  <c r="F489" i="3" l="1"/>
  <c r="I489" i="3"/>
  <c r="J489" i="3"/>
  <c r="M489" i="3"/>
  <c r="N489" i="3" s="1"/>
  <c r="V489" i="3"/>
  <c r="A490" i="3"/>
  <c r="B490" i="3" s="1"/>
  <c r="W489" i="3" l="1"/>
  <c r="P490" i="3"/>
  <c r="Q490" i="3" s="1"/>
  <c r="R490" i="3" s="1"/>
  <c r="S490" i="3" s="1"/>
  <c r="AC490" i="3"/>
  <c r="AD490" i="3"/>
  <c r="AA490" i="3"/>
  <c r="Z490" i="3"/>
  <c r="L489" i="3"/>
  <c r="U489" i="3" l="1"/>
  <c r="Y488" i="3"/>
  <c r="T490" i="3"/>
  <c r="E490" i="3" l="1"/>
  <c r="H490" i="3" s="1"/>
  <c r="K490" i="3" s="1"/>
  <c r="AE490" i="3" s="1"/>
  <c r="AH490" i="3"/>
  <c r="AG490" i="3"/>
  <c r="D490" i="3"/>
  <c r="F490" i="3" l="1"/>
  <c r="G490" i="3"/>
  <c r="V490" i="3"/>
  <c r="A491" i="3"/>
  <c r="B491" i="3" s="1"/>
  <c r="AD491" i="3" l="1"/>
  <c r="P491" i="3"/>
  <c r="Q491" i="3" s="1"/>
  <c r="R491" i="3" s="1"/>
  <c r="S491" i="3" s="1"/>
  <c r="AC491" i="3"/>
  <c r="AA491" i="3"/>
  <c r="Z491" i="3"/>
  <c r="I490" i="3"/>
  <c r="W490" i="3" s="1"/>
  <c r="J490" i="3"/>
  <c r="M490" i="3"/>
  <c r="N490" i="3" s="1"/>
  <c r="L490" i="3" l="1"/>
  <c r="T491" i="3"/>
  <c r="AG491" i="3" l="1"/>
  <c r="U490" i="3"/>
  <c r="E491" i="3" s="1"/>
  <c r="H491" i="3" s="1"/>
  <c r="AH491" i="3"/>
  <c r="Y489" i="3"/>
  <c r="D491" i="3" l="1"/>
  <c r="F491" i="3" s="1"/>
  <c r="K491" i="3"/>
  <c r="AE491" i="3" s="1"/>
  <c r="G491" i="3" l="1"/>
  <c r="I491" i="3" s="1"/>
  <c r="V491" i="3"/>
  <c r="A492" i="3"/>
  <c r="B492" i="3" s="1"/>
  <c r="W491" i="3" l="1"/>
  <c r="M491" i="3"/>
  <c r="N491" i="3" s="1"/>
  <c r="J491" i="3"/>
  <c r="L491" i="3" s="1"/>
  <c r="Z492" i="3"/>
  <c r="P492" i="3"/>
  <c r="Q492" i="3" s="1"/>
  <c r="R492" i="3" s="1"/>
  <c r="S492" i="3" s="1"/>
  <c r="AA492" i="3"/>
  <c r="AD492" i="3"/>
  <c r="AC492" i="3"/>
  <c r="T492" i="3" l="1"/>
  <c r="AH492" i="3" s="1"/>
  <c r="U491" i="3"/>
  <c r="Y490" i="3"/>
  <c r="AG492" i="3" l="1"/>
  <c r="E492" i="3"/>
  <c r="H492" i="3" s="1"/>
  <c r="K492" i="3" s="1"/>
  <c r="AE492" i="3" s="1"/>
  <c r="D492" i="3"/>
  <c r="V492" i="3" l="1"/>
  <c r="A493" i="3"/>
  <c r="B493" i="3" s="1"/>
  <c r="F492" i="3"/>
  <c r="G492" i="3"/>
  <c r="AA493" i="3" l="1"/>
  <c r="P493" i="3"/>
  <c r="Q493" i="3" s="1"/>
  <c r="R493" i="3" s="1"/>
  <c r="S493" i="3" s="1"/>
  <c r="AD493" i="3"/>
  <c r="Z493" i="3"/>
  <c r="AC493" i="3"/>
  <c r="I492" i="3"/>
  <c r="W492" i="3" s="1"/>
  <c r="J492" i="3"/>
  <c r="M492" i="3"/>
  <c r="N492" i="3" s="1"/>
  <c r="T493" i="3" l="1"/>
  <c r="L492" i="3"/>
  <c r="AG493" i="3" l="1"/>
  <c r="AH493" i="3"/>
  <c r="U492" i="3"/>
  <c r="E493" i="3" s="1"/>
  <c r="H493" i="3" s="1"/>
  <c r="Y491" i="3"/>
  <c r="K493" i="3" l="1"/>
  <c r="AE493" i="3" s="1"/>
  <c r="D493" i="3"/>
  <c r="F493" i="3" l="1"/>
  <c r="G493" i="3"/>
  <c r="V493" i="3"/>
  <c r="A494" i="3"/>
  <c r="B494" i="3" s="1"/>
  <c r="AC494" i="3" l="1"/>
  <c r="P494" i="3"/>
  <c r="Q494" i="3" s="1"/>
  <c r="R494" i="3" s="1"/>
  <c r="S494" i="3" s="1"/>
  <c r="Z494" i="3"/>
  <c r="AA494" i="3"/>
  <c r="AD494" i="3"/>
  <c r="I493" i="3"/>
  <c r="W493" i="3" s="1"/>
  <c r="J493" i="3"/>
  <c r="M493" i="3"/>
  <c r="N493" i="3" s="1"/>
  <c r="L493" i="3" l="1"/>
  <c r="T494" i="3"/>
  <c r="AH494" i="3" l="1"/>
  <c r="AG494" i="3"/>
  <c r="U493" i="3"/>
  <c r="E494" i="3" s="1"/>
  <c r="H494" i="3" s="1"/>
  <c r="Y492" i="3"/>
  <c r="D494" i="3" l="1"/>
  <c r="F494" i="3" s="1"/>
  <c r="K494" i="3"/>
  <c r="AE494" i="3" s="1"/>
  <c r="G494" i="3" l="1"/>
  <c r="I494" i="3" s="1"/>
  <c r="V494" i="3"/>
  <c r="A495" i="3"/>
  <c r="B495" i="3" s="1"/>
  <c r="W494" i="3" l="1"/>
  <c r="J494" i="3"/>
  <c r="L494" i="3" s="1"/>
  <c r="M494" i="3"/>
  <c r="N494" i="3" s="1"/>
  <c r="AC495" i="3"/>
  <c r="P495" i="3"/>
  <c r="Q495" i="3" s="1"/>
  <c r="R495" i="3" s="1"/>
  <c r="S495" i="3" s="1"/>
  <c r="Z495" i="3"/>
  <c r="AA495" i="3"/>
  <c r="AD495" i="3"/>
  <c r="T495" i="3" l="1"/>
  <c r="AH495" i="3" s="1"/>
  <c r="U494" i="3"/>
  <c r="Y493" i="3"/>
  <c r="E495" i="3" l="1"/>
  <c r="H495" i="3" s="1"/>
  <c r="K495" i="3" s="1"/>
  <c r="AE495" i="3" s="1"/>
  <c r="D495" i="3"/>
  <c r="AG495" i="3"/>
  <c r="F495" i="3" l="1"/>
  <c r="G495" i="3"/>
  <c r="I495" i="3" s="1"/>
  <c r="V495" i="3"/>
  <c r="A496" i="3"/>
  <c r="B496" i="3" s="1"/>
  <c r="M495" i="3" l="1"/>
  <c r="N495" i="3" s="1"/>
  <c r="J495" i="3"/>
  <c r="L495" i="3" s="1"/>
  <c r="W495" i="3"/>
  <c r="AD496" i="3"/>
  <c r="Z496" i="3"/>
  <c r="AC496" i="3"/>
  <c r="AA496" i="3"/>
  <c r="P496" i="3"/>
  <c r="Q496" i="3" s="1"/>
  <c r="R496" i="3" s="1"/>
  <c r="S496" i="3" s="1"/>
  <c r="T496" i="3" l="1"/>
  <c r="AH496" i="3" s="1"/>
  <c r="U495" i="3"/>
  <c r="Y494" i="3"/>
  <c r="AG496" i="3" l="1"/>
  <c r="E496" i="3"/>
  <c r="H496" i="3" s="1"/>
  <c r="K496" i="3" s="1"/>
  <c r="AE496" i="3" s="1"/>
  <c r="D496" i="3"/>
  <c r="F496" i="3" l="1"/>
  <c r="G496" i="3"/>
  <c r="I496" i="3" s="1"/>
  <c r="V496" i="3"/>
  <c r="A497" i="3"/>
  <c r="B497" i="3" s="1"/>
  <c r="M496" i="3" l="1"/>
  <c r="N496" i="3" s="1"/>
  <c r="J496" i="3"/>
  <c r="L496" i="3" s="1"/>
  <c r="AC497" i="3"/>
  <c r="AA497" i="3"/>
  <c r="AD497" i="3"/>
  <c r="Z497" i="3"/>
  <c r="P497" i="3"/>
  <c r="Q497" i="3" s="1"/>
  <c r="R497" i="3" s="1"/>
  <c r="S497" i="3" s="1"/>
  <c r="W496" i="3"/>
  <c r="T497" i="3" l="1"/>
  <c r="AH497" i="3" s="1"/>
  <c r="U496" i="3"/>
  <c r="Y495" i="3"/>
  <c r="D497" i="3" l="1"/>
  <c r="G497" i="3" s="1"/>
  <c r="AG497" i="3"/>
  <c r="E497" i="3"/>
  <c r="H497" i="3" s="1"/>
  <c r="K497" i="3" s="1"/>
  <c r="AE497" i="3" s="1"/>
  <c r="F497" i="3" l="1"/>
  <c r="V497" i="3"/>
  <c r="A498" i="3"/>
  <c r="B498" i="3" s="1"/>
  <c r="I497" i="3"/>
  <c r="J497" i="3"/>
  <c r="M497" i="3"/>
  <c r="N497" i="3" s="1"/>
  <c r="AA498" i="3" l="1"/>
  <c r="P498" i="3"/>
  <c r="Q498" i="3" s="1"/>
  <c r="R498" i="3" s="1"/>
  <c r="S498" i="3" s="1"/>
  <c r="Z498" i="3"/>
  <c r="AC498" i="3"/>
  <c r="AD498" i="3"/>
  <c r="L497" i="3"/>
  <c r="W497" i="3"/>
  <c r="T498" i="3" l="1"/>
  <c r="AH498" i="3" s="1"/>
  <c r="U497" i="3"/>
  <c r="Y496" i="3"/>
  <c r="AG498" i="3" l="1"/>
  <c r="E498" i="3"/>
  <c r="H498" i="3" s="1"/>
  <c r="K498" i="3" s="1"/>
  <c r="AE498" i="3" s="1"/>
  <c r="D498" i="3"/>
  <c r="F498" i="3" l="1"/>
  <c r="G498" i="3"/>
  <c r="I498" i="3" s="1"/>
  <c r="V498" i="3"/>
  <c r="A499" i="3"/>
  <c r="B499" i="3" s="1"/>
  <c r="W498" i="3" l="1"/>
  <c r="M498" i="3"/>
  <c r="N498" i="3" s="1"/>
  <c r="J498" i="3"/>
  <c r="L498" i="3" s="1"/>
  <c r="AD499" i="3"/>
  <c r="AA499" i="3"/>
  <c r="Z499" i="3"/>
  <c r="AC499" i="3"/>
  <c r="P499" i="3"/>
  <c r="Q499" i="3" s="1"/>
  <c r="R499" i="3" s="1"/>
  <c r="S499" i="3" s="1"/>
  <c r="U498" i="3" l="1"/>
  <c r="Y497" i="3"/>
  <c r="T499" i="3"/>
  <c r="AH499" i="3" s="1"/>
  <c r="D499" i="3" l="1"/>
  <c r="AG499" i="3"/>
  <c r="E499" i="3"/>
  <c r="H499" i="3" s="1"/>
  <c r="K499" i="3" l="1"/>
  <c r="AE499" i="3" s="1"/>
  <c r="F499" i="3"/>
  <c r="G499" i="3"/>
  <c r="I499" i="3" l="1"/>
  <c r="J499" i="3"/>
  <c r="M499" i="3"/>
  <c r="N499" i="3" s="1"/>
  <c r="V499" i="3"/>
  <c r="A500" i="3"/>
  <c r="B500" i="3" s="1"/>
  <c r="W499" i="3" l="1"/>
  <c r="Z500" i="3"/>
  <c r="P500" i="3"/>
  <c r="Q500" i="3" s="1"/>
  <c r="R500" i="3" s="1"/>
  <c r="S500" i="3" s="1"/>
  <c r="AC500" i="3"/>
  <c r="AD500" i="3"/>
  <c r="AA500" i="3"/>
  <c r="L499" i="3"/>
  <c r="T500" i="3" l="1"/>
  <c r="AG500" i="3" s="1"/>
  <c r="U499" i="3"/>
  <c r="Y498" i="3"/>
  <c r="D500" i="3" l="1"/>
  <c r="G500" i="3" s="1"/>
  <c r="AH500" i="3"/>
  <c r="E500" i="3"/>
  <c r="H500" i="3" s="1"/>
  <c r="K500" i="3" s="1"/>
  <c r="AE500" i="3" s="1"/>
  <c r="F500" i="3" l="1"/>
  <c r="I500" i="3"/>
  <c r="J500" i="3"/>
  <c r="M500" i="3"/>
  <c r="N500" i="3" s="1"/>
  <c r="V500" i="3"/>
  <c r="A501" i="3"/>
  <c r="B501" i="3" s="1"/>
  <c r="W500" i="3" l="1"/>
  <c r="Z501" i="3"/>
  <c r="AD501" i="3"/>
  <c r="AA501" i="3"/>
  <c r="P501" i="3"/>
  <c r="Q501" i="3" s="1"/>
  <c r="R501" i="3" s="1"/>
  <c r="S501" i="3" s="1"/>
  <c r="AC501" i="3"/>
  <c r="L500" i="3"/>
  <c r="T501" i="3" l="1"/>
  <c r="AH501" i="3" s="1"/>
  <c r="U500" i="3"/>
  <c r="Y499" i="3"/>
  <c r="D501" i="3" l="1"/>
  <c r="G501" i="3" s="1"/>
  <c r="E501" i="3"/>
  <c r="H501" i="3" s="1"/>
  <c r="K501" i="3" s="1"/>
  <c r="AE501" i="3" s="1"/>
  <c r="AG501" i="3"/>
  <c r="F501" i="3" l="1"/>
  <c r="I501" i="3"/>
  <c r="J501" i="3"/>
  <c r="M501" i="3"/>
  <c r="N501" i="3" s="1"/>
  <c r="V501" i="3"/>
  <c r="A502" i="3"/>
  <c r="B502" i="3" s="1"/>
  <c r="W501" i="3" l="1"/>
  <c r="L501" i="3"/>
  <c r="AA502" i="3"/>
  <c r="AC502" i="3"/>
  <c r="Z502" i="3"/>
  <c r="AD502" i="3"/>
  <c r="P502" i="3"/>
  <c r="Q502" i="3" s="1"/>
  <c r="R502" i="3" s="1"/>
  <c r="S502" i="3" s="1"/>
  <c r="T502" i="3" l="1"/>
  <c r="AG502" i="3" s="1"/>
  <c r="U501" i="3"/>
  <c r="Y500" i="3"/>
  <c r="E502" i="3" l="1"/>
  <c r="H502" i="3" s="1"/>
  <c r="K502" i="3" s="1"/>
  <c r="AE502" i="3" s="1"/>
  <c r="D502" i="3"/>
  <c r="AH502" i="3"/>
  <c r="F502" i="3" l="1"/>
  <c r="G502" i="3"/>
  <c r="M502" i="3" s="1"/>
  <c r="N502" i="3" s="1"/>
  <c r="V502" i="3"/>
  <c r="A503" i="3"/>
  <c r="B503" i="3" s="1"/>
  <c r="J502" i="3" l="1"/>
  <c r="L502" i="3" s="1"/>
  <c r="I502" i="3"/>
  <c r="W502" i="3" s="1"/>
  <c r="Z503" i="3"/>
  <c r="AC503" i="3"/>
  <c r="AA503" i="3"/>
  <c r="AD503" i="3"/>
  <c r="P503" i="3"/>
  <c r="Q503" i="3" s="1"/>
  <c r="R503" i="3" s="1"/>
  <c r="S503" i="3" s="1"/>
  <c r="T503" i="3" l="1"/>
  <c r="AH503" i="3" s="1"/>
  <c r="U502" i="3"/>
  <c r="Y501" i="3"/>
  <c r="E503" i="3" l="1"/>
  <c r="H503" i="3" s="1"/>
  <c r="K503" i="3" s="1"/>
  <c r="AE503" i="3" s="1"/>
  <c r="AG503" i="3"/>
  <c r="D503" i="3"/>
  <c r="F503" i="3" l="1"/>
  <c r="G503" i="3"/>
  <c r="I503" i="3" s="1"/>
  <c r="V503" i="3"/>
  <c r="A504" i="3"/>
  <c r="B504" i="3" s="1"/>
  <c r="M503" i="3" l="1"/>
  <c r="N503" i="3" s="1"/>
  <c r="J503" i="3"/>
  <c r="L503" i="3" s="1"/>
  <c r="W503" i="3"/>
  <c r="AC504" i="3"/>
  <c r="Z504" i="3"/>
  <c r="P504" i="3"/>
  <c r="Q504" i="3" s="1"/>
  <c r="R504" i="3" s="1"/>
  <c r="S504" i="3" s="1"/>
  <c r="AA504" i="3"/>
  <c r="U503" i="3" l="1"/>
  <c r="Y502" i="3"/>
  <c r="T504" i="3"/>
  <c r="E504" i="3" l="1"/>
  <c r="H504" i="3" s="1"/>
  <c r="K504" i="3" s="1"/>
  <c r="AE504" i="3" s="1"/>
  <c r="AH504" i="3"/>
  <c r="AG504" i="3"/>
  <c r="D504" i="3"/>
  <c r="F504" i="3" l="1"/>
  <c r="G504" i="3"/>
  <c r="V504" i="3"/>
  <c r="A505" i="3"/>
  <c r="B505" i="3" s="1"/>
  <c r="P505" i="3" l="1"/>
  <c r="Q505" i="3" s="1"/>
  <c r="R505" i="3" s="1"/>
  <c r="S505" i="3" s="1"/>
  <c r="AD505" i="3"/>
  <c r="AA505" i="3"/>
  <c r="Z505" i="3"/>
  <c r="AC505" i="3"/>
  <c r="I504" i="3"/>
  <c r="W504" i="3" s="1"/>
  <c r="J504" i="3"/>
  <c r="AD504" i="3" s="1"/>
  <c r="M504" i="3"/>
  <c r="N504" i="3" s="1"/>
  <c r="L504" i="3" l="1"/>
  <c r="T505" i="3"/>
  <c r="AG505" i="3" l="1"/>
  <c r="AH505" i="3"/>
  <c r="U504" i="3"/>
  <c r="E505" i="3" s="1"/>
  <c r="H505" i="3" s="1"/>
  <c r="Y503" i="3"/>
  <c r="K505" i="3" l="1"/>
  <c r="AE505" i="3" s="1"/>
  <c r="D505" i="3"/>
  <c r="F505" i="3" l="1"/>
  <c r="G505" i="3"/>
  <c r="V505" i="3"/>
  <c r="A506" i="3"/>
  <c r="B506" i="3" s="1"/>
  <c r="Z506" i="3" l="1"/>
  <c r="AC506" i="3"/>
  <c r="P506" i="3"/>
  <c r="Q506" i="3" s="1"/>
  <c r="R506" i="3" s="1"/>
  <c r="S506" i="3" s="1"/>
  <c r="AD506" i="3"/>
  <c r="AA506" i="3"/>
  <c r="I505" i="3"/>
  <c r="W505" i="3" s="1"/>
  <c r="J505" i="3"/>
  <c r="M505" i="3"/>
  <c r="N505" i="3" s="1"/>
  <c r="T506" i="3" l="1"/>
  <c r="L505" i="3"/>
  <c r="U505" i="3" l="1"/>
  <c r="D506" i="3" s="1"/>
  <c r="AH506" i="3"/>
  <c r="AG506" i="3"/>
  <c r="Y504" i="3"/>
  <c r="E506" i="3" l="1"/>
  <c r="H506" i="3" s="1"/>
  <c r="K506" i="3" s="1"/>
  <c r="AE506" i="3" s="1"/>
  <c r="G506" i="3"/>
  <c r="F506" i="3" l="1"/>
  <c r="V506" i="3"/>
  <c r="A507" i="3"/>
  <c r="B507" i="3" s="1"/>
  <c r="I506" i="3"/>
  <c r="J506" i="3"/>
  <c r="M506" i="3"/>
  <c r="N506" i="3" s="1"/>
  <c r="L506" i="3" l="1"/>
  <c r="Z507" i="3"/>
  <c r="AD507" i="3"/>
  <c r="P507" i="3"/>
  <c r="Q507" i="3" s="1"/>
  <c r="R507" i="3" s="1"/>
  <c r="S507" i="3" s="1"/>
  <c r="AA507" i="3"/>
  <c r="AC507" i="3"/>
  <c r="W506" i="3"/>
  <c r="T507" i="3" l="1"/>
  <c r="AG507" i="3" s="1"/>
  <c r="U506" i="3"/>
  <c r="Y505" i="3"/>
  <c r="AH507" i="3" l="1"/>
  <c r="E507" i="3"/>
  <c r="H507" i="3" s="1"/>
  <c r="D507" i="3"/>
  <c r="K507" i="3" l="1"/>
  <c r="AE507" i="3" s="1"/>
  <c r="F507" i="3"/>
  <c r="G507" i="3"/>
  <c r="I507" i="3" l="1"/>
  <c r="J507" i="3"/>
  <c r="M507" i="3"/>
  <c r="N507" i="3" s="1"/>
  <c r="V507" i="3"/>
  <c r="A508" i="3"/>
  <c r="B508" i="3" s="1"/>
  <c r="W507" i="3" l="1"/>
  <c r="Z508" i="3"/>
  <c r="AC508" i="3"/>
  <c r="P508" i="3"/>
  <c r="Q508" i="3" s="1"/>
  <c r="R508" i="3" s="1"/>
  <c r="S508" i="3" s="1"/>
  <c r="AA508" i="3"/>
  <c r="AD508" i="3"/>
  <c r="L507" i="3"/>
  <c r="T508" i="3" l="1"/>
  <c r="AH508" i="3" s="1"/>
  <c r="U507" i="3"/>
  <c r="Y506" i="3"/>
  <c r="D508" i="3" l="1"/>
  <c r="G508" i="3" s="1"/>
  <c r="AG508" i="3"/>
  <c r="E508" i="3"/>
  <c r="H508" i="3" s="1"/>
  <c r="K508" i="3" l="1"/>
  <c r="AE508" i="3" s="1"/>
  <c r="I508" i="3"/>
  <c r="J508" i="3"/>
  <c r="M508" i="3"/>
  <c r="N508" i="3" s="1"/>
  <c r="F508" i="3"/>
  <c r="L508" i="3" l="1"/>
  <c r="V508" i="3"/>
  <c r="W508" i="3" s="1"/>
  <c r="A509" i="3"/>
  <c r="B509" i="3" s="1"/>
  <c r="P509" i="3" l="1"/>
  <c r="Q509" i="3" s="1"/>
  <c r="R509" i="3" s="1"/>
  <c r="S509" i="3" s="1"/>
  <c r="Z509" i="3"/>
  <c r="AC509" i="3"/>
  <c r="AD509" i="3"/>
  <c r="AA509" i="3"/>
  <c r="U508" i="3"/>
  <c r="Y507" i="3"/>
  <c r="T509" i="3" l="1"/>
  <c r="D509" i="3" l="1"/>
  <c r="AH509" i="3"/>
  <c r="E509" i="3"/>
  <c r="H509" i="3" s="1"/>
  <c r="AG509" i="3"/>
  <c r="K509" i="3" l="1"/>
  <c r="AE509" i="3" s="1"/>
  <c r="F509" i="3"/>
  <c r="G509" i="3"/>
  <c r="I509" i="3" l="1"/>
  <c r="J509" i="3"/>
  <c r="M509" i="3"/>
  <c r="N509" i="3" s="1"/>
  <c r="V509" i="3"/>
  <c r="A510" i="3"/>
  <c r="B510" i="3" s="1"/>
  <c r="W509" i="3" l="1"/>
  <c r="L509" i="3"/>
  <c r="AD510" i="3"/>
  <c r="P510" i="3"/>
  <c r="Q510" i="3" s="1"/>
  <c r="R510" i="3" s="1"/>
  <c r="S510" i="3" s="1"/>
  <c r="AC510" i="3"/>
  <c r="Z510" i="3"/>
  <c r="AA510" i="3"/>
  <c r="T510" i="3" l="1"/>
  <c r="AG510" i="3" s="1"/>
  <c r="U509" i="3"/>
  <c r="Y508" i="3"/>
  <c r="D510" i="3" l="1"/>
  <c r="G510" i="3" s="1"/>
  <c r="AH510" i="3"/>
  <c r="E510" i="3"/>
  <c r="H510" i="3" s="1"/>
  <c r="K510" i="3" s="1"/>
  <c r="AE510" i="3" s="1"/>
  <c r="F510" i="3" l="1"/>
  <c r="V510" i="3"/>
  <c r="A511" i="3"/>
  <c r="B511" i="3" s="1"/>
  <c r="I510" i="3"/>
  <c r="J510" i="3"/>
  <c r="M510" i="3"/>
  <c r="N510" i="3" s="1"/>
  <c r="L510" i="3" l="1"/>
  <c r="AC511" i="3"/>
  <c r="P511" i="3"/>
  <c r="Q511" i="3" s="1"/>
  <c r="R511" i="3" s="1"/>
  <c r="S511" i="3" s="1"/>
  <c r="Z511" i="3"/>
  <c r="AD511" i="3"/>
  <c r="AA511" i="3"/>
  <c r="W510" i="3"/>
  <c r="T511" i="3" l="1"/>
  <c r="AG511" i="3" s="1"/>
  <c r="U510" i="3"/>
  <c r="Y509" i="3"/>
  <c r="AH511" i="3" l="1"/>
  <c r="E511" i="3"/>
  <c r="H511" i="3" s="1"/>
  <c r="K511" i="3" s="1"/>
  <c r="AE511" i="3" s="1"/>
  <c r="D511" i="3"/>
  <c r="F511" i="3" l="1"/>
  <c r="G511" i="3"/>
  <c r="J511" i="3" s="1"/>
  <c r="V511" i="3"/>
  <c r="A512" i="3"/>
  <c r="B512" i="3" s="1"/>
  <c r="M511" i="3" l="1"/>
  <c r="N511" i="3" s="1"/>
  <c r="I511" i="3"/>
  <c r="W511" i="3" s="1"/>
  <c r="Z512" i="3"/>
  <c r="AA512" i="3"/>
  <c r="AD512" i="3"/>
  <c r="AC512" i="3"/>
  <c r="P512" i="3"/>
  <c r="Q512" i="3" s="1"/>
  <c r="R512" i="3" s="1"/>
  <c r="S512" i="3" s="1"/>
  <c r="L511" i="3"/>
  <c r="T512" i="3" l="1"/>
  <c r="AH512" i="3" s="1"/>
  <c r="U511" i="3"/>
  <c r="Y510" i="3"/>
  <c r="E512" i="3" l="1"/>
  <c r="H512" i="3" s="1"/>
  <c r="K512" i="3" s="1"/>
  <c r="AE512" i="3" s="1"/>
  <c r="AG512" i="3"/>
  <c r="D512" i="3"/>
  <c r="G512" i="3" s="1"/>
  <c r="F512" i="3" l="1"/>
  <c r="V512" i="3"/>
  <c r="A513" i="3"/>
  <c r="B513" i="3" s="1"/>
  <c r="I512" i="3"/>
  <c r="J512" i="3"/>
  <c r="M512" i="3"/>
  <c r="N512" i="3" s="1"/>
  <c r="L512" i="3" l="1"/>
  <c r="Z513" i="3"/>
  <c r="AD513" i="3"/>
  <c r="AC513" i="3"/>
  <c r="AA513" i="3"/>
  <c r="P513" i="3"/>
  <c r="Q513" i="3" s="1"/>
  <c r="R513" i="3" s="1"/>
  <c r="S513" i="3" s="1"/>
  <c r="W512" i="3"/>
  <c r="T513" i="3" l="1"/>
  <c r="AG513" i="3" s="1"/>
  <c r="U512" i="3"/>
  <c r="Y511" i="3"/>
  <c r="E513" i="3" l="1"/>
  <c r="H513" i="3" s="1"/>
  <c r="K513" i="3" s="1"/>
  <c r="AE513" i="3" s="1"/>
  <c r="AH513" i="3"/>
  <c r="D513" i="3"/>
  <c r="F513" i="3" l="1"/>
  <c r="G513" i="3"/>
  <c r="I513" i="3" s="1"/>
  <c r="V513" i="3"/>
  <c r="A514" i="3"/>
  <c r="B514" i="3" s="1"/>
  <c r="M513" i="3" l="1"/>
  <c r="N513" i="3" s="1"/>
  <c r="J513" i="3"/>
  <c r="L513" i="3" s="1"/>
  <c r="W513" i="3"/>
  <c r="AA514" i="3"/>
  <c r="AC514" i="3"/>
  <c r="Z514" i="3"/>
  <c r="P514" i="3"/>
  <c r="Q514" i="3" s="1"/>
  <c r="R514" i="3" s="1"/>
  <c r="S514" i="3" s="1"/>
  <c r="T514" i="3" l="1"/>
  <c r="AG514" i="3" s="1"/>
  <c r="U513" i="3"/>
  <c r="Y512" i="3"/>
  <c r="E514" i="3" l="1"/>
  <c r="H514" i="3" s="1"/>
  <c r="K514" i="3" s="1"/>
  <c r="AE514" i="3" s="1"/>
  <c r="AH514" i="3"/>
  <c r="D514" i="3"/>
  <c r="F514" i="3" l="1"/>
  <c r="G514" i="3"/>
  <c r="I514" i="3" s="1"/>
  <c r="V514" i="3"/>
  <c r="A515" i="3"/>
  <c r="B515" i="3" s="1"/>
  <c r="M514" i="3" l="1"/>
  <c r="N514" i="3" s="1"/>
  <c r="J514" i="3"/>
  <c r="AD514" i="3" s="1"/>
  <c r="W514" i="3"/>
  <c r="Z515" i="3"/>
  <c r="AA515" i="3"/>
  <c r="AD515" i="3"/>
  <c r="AC515" i="3"/>
  <c r="P515" i="3"/>
  <c r="Q515" i="3" s="1"/>
  <c r="R515" i="3" s="1"/>
  <c r="S515" i="3" s="1"/>
  <c r="L514" i="3" l="1"/>
  <c r="U514" i="3" s="1"/>
  <c r="T515" i="3"/>
  <c r="E515" i="3" l="1"/>
  <c r="H515" i="3" s="1"/>
  <c r="K515" i="3" s="1"/>
  <c r="AE515" i="3" s="1"/>
  <c r="AH515" i="3"/>
  <c r="AG515" i="3"/>
  <c r="Y513" i="3"/>
  <c r="D515" i="3"/>
  <c r="F515" i="3" l="1"/>
  <c r="G515" i="3"/>
  <c r="I515" i="3" s="1"/>
  <c r="V515" i="3"/>
  <c r="A516" i="3"/>
  <c r="B516" i="3" s="1"/>
  <c r="W515" i="3" l="1"/>
  <c r="M515" i="3"/>
  <c r="N515" i="3" s="1"/>
  <c r="J515" i="3"/>
  <c r="L515" i="3" s="1"/>
  <c r="AD516" i="3"/>
  <c r="AA516" i="3"/>
  <c r="P516" i="3"/>
  <c r="Q516" i="3" s="1"/>
  <c r="R516" i="3" s="1"/>
  <c r="S516" i="3" s="1"/>
  <c r="Z516" i="3"/>
  <c r="AC516" i="3"/>
  <c r="T516" i="3" l="1"/>
  <c r="AG516" i="3" s="1"/>
  <c r="U515" i="3"/>
  <c r="Y514" i="3"/>
  <c r="AH516" i="3" l="1"/>
  <c r="E516" i="3"/>
  <c r="H516" i="3" s="1"/>
  <c r="K516" i="3" s="1"/>
  <c r="AE516" i="3" s="1"/>
  <c r="D516" i="3"/>
  <c r="F516" i="3" l="1"/>
  <c r="G516" i="3"/>
  <c r="V516" i="3"/>
  <c r="A517" i="3"/>
  <c r="B517" i="3" s="1"/>
  <c r="AC517" i="3" l="1"/>
  <c r="P517" i="3"/>
  <c r="Q517" i="3" s="1"/>
  <c r="R517" i="3" s="1"/>
  <c r="S517" i="3" s="1"/>
  <c r="AA517" i="3"/>
  <c r="Z517" i="3"/>
  <c r="AD517" i="3"/>
  <c r="I516" i="3"/>
  <c r="W516" i="3" s="1"/>
  <c r="J516" i="3"/>
  <c r="M516" i="3"/>
  <c r="N516" i="3" s="1"/>
  <c r="T517" i="3" l="1"/>
  <c r="L516" i="3"/>
  <c r="AG517" i="3" l="1"/>
  <c r="U516" i="3"/>
  <c r="E517" i="3" s="1"/>
  <c r="H517" i="3" s="1"/>
  <c r="AH517" i="3"/>
  <c r="Y515" i="3"/>
  <c r="D517" i="3" l="1"/>
  <c r="F517" i="3" s="1"/>
  <c r="K517" i="3"/>
  <c r="AE517" i="3" s="1"/>
  <c r="G517" i="3" l="1"/>
  <c r="I517" i="3" s="1"/>
  <c r="V517" i="3"/>
  <c r="A518" i="3"/>
  <c r="B518" i="3" s="1"/>
  <c r="M517" i="3" l="1"/>
  <c r="N517" i="3" s="1"/>
  <c r="J517" i="3"/>
  <c r="L517" i="3" s="1"/>
  <c r="W517" i="3"/>
  <c r="AC518" i="3"/>
  <c r="P518" i="3"/>
  <c r="Q518" i="3" s="1"/>
  <c r="R518" i="3" s="1"/>
  <c r="S518" i="3" s="1"/>
  <c r="AA518" i="3"/>
  <c r="Z518" i="3"/>
  <c r="AD518" i="3"/>
  <c r="T518" i="3" l="1"/>
  <c r="AG518" i="3" s="1"/>
  <c r="U517" i="3"/>
  <c r="Y516" i="3"/>
  <c r="E518" i="3" l="1"/>
  <c r="H518" i="3" s="1"/>
  <c r="K518" i="3" s="1"/>
  <c r="AE518" i="3" s="1"/>
  <c r="AH518" i="3"/>
  <c r="D518" i="3"/>
  <c r="F518" i="3" l="1"/>
  <c r="G518" i="3"/>
  <c r="M518" i="3" s="1"/>
  <c r="N518" i="3" s="1"/>
  <c r="V518" i="3"/>
  <c r="A519" i="3"/>
  <c r="B519" i="3" s="1"/>
  <c r="J518" i="3" l="1"/>
  <c r="L518" i="3" s="1"/>
  <c r="I518" i="3"/>
  <c r="W518" i="3" s="1"/>
  <c r="AA519" i="3"/>
  <c r="Z519" i="3"/>
  <c r="AD519" i="3"/>
  <c r="AC519" i="3"/>
  <c r="P519" i="3"/>
  <c r="Q519" i="3" s="1"/>
  <c r="R519" i="3" s="1"/>
  <c r="S519" i="3" s="1"/>
  <c r="T519" i="3" l="1"/>
  <c r="AG519" i="3" s="1"/>
  <c r="U518" i="3"/>
  <c r="Y517" i="3"/>
  <c r="E519" i="3" l="1"/>
  <c r="H519" i="3" s="1"/>
  <c r="K519" i="3" s="1"/>
  <c r="AE519" i="3" s="1"/>
  <c r="D519" i="3"/>
  <c r="AH519" i="3"/>
  <c r="F519" i="3" l="1"/>
  <c r="G519" i="3"/>
  <c r="I519" i="3" s="1"/>
  <c r="V519" i="3"/>
  <c r="A520" i="3"/>
  <c r="B520" i="3" s="1"/>
  <c r="W519" i="3" l="1"/>
  <c r="M519" i="3"/>
  <c r="N519" i="3" s="1"/>
  <c r="J519" i="3"/>
  <c r="L519" i="3" s="1"/>
  <c r="P520" i="3"/>
  <c r="Q520" i="3" s="1"/>
  <c r="R520" i="3" s="1"/>
  <c r="S520" i="3" s="1"/>
  <c r="AC520" i="3"/>
  <c r="Z520" i="3"/>
  <c r="AA520" i="3"/>
  <c r="AD520" i="3"/>
  <c r="U519" i="3" l="1"/>
  <c r="Y518" i="3"/>
  <c r="T520" i="3"/>
  <c r="AG520" i="3" s="1"/>
  <c r="AH520" i="3" l="1"/>
  <c r="D520" i="3"/>
  <c r="G520" i="3" s="1"/>
  <c r="E520" i="3"/>
  <c r="H520" i="3" s="1"/>
  <c r="K520" i="3" s="1"/>
  <c r="AE520" i="3" s="1"/>
  <c r="F520" i="3" l="1"/>
  <c r="V520" i="3"/>
  <c r="A521" i="3"/>
  <c r="B521" i="3" s="1"/>
  <c r="I520" i="3"/>
  <c r="J520" i="3"/>
  <c r="M520" i="3"/>
  <c r="N520" i="3" s="1"/>
  <c r="L520" i="3" l="1"/>
  <c r="Z521" i="3"/>
  <c r="AC521" i="3"/>
  <c r="P521" i="3"/>
  <c r="Q521" i="3" s="1"/>
  <c r="R521" i="3" s="1"/>
  <c r="S521" i="3" s="1"/>
  <c r="AD521" i="3"/>
  <c r="AA521" i="3"/>
  <c r="W520" i="3"/>
  <c r="T521" i="3" l="1"/>
  <c r="AG521" i="3" s="1"/>
  <c r="U520" i="3"/>
  <c r="Y519" i="3"/>
  <c r="E521" i="3" l="1"/>
  <c r="H521" i="3" s="1"/>
  <c r="K521" i="3" s="1"/>
  <c r="AE521" i="3" s="1"/>
  <c r="AH521" i="3"/>
  <c r="D521" i="3"/>
  <c r="F521" i="3" l="1"/>
  <c r="G521" i="3"/>
  <c r="I521" i="3" s="1"/>
  <c r="V521" i="3"/>
  <c r="A522" i="3"/>
  <c r="B522" i="3" s="1"/>
  <c r="M521" i="3" l="1"/>
  <c r="N521" i="3" s="1"/>
  <c r="J521" i="3"/>
  <c r="L521" i="3" s="1"/>
  <c r="W521" i="3"/>
  <c r="AA522" i="3"/>
  <c r="Z522" i="3"/>
  <c r="AD522" i="3"/>
  <c r="AC522" i="3"/>
  <c r="P522" i="3"/>
  <c r="Q522" i="3" s="1"/>
  <c r="R522" i="3" s="1"/>
  <c r="S522" i="3" s="1"/>
  <c r="T522" i="3" l="1"/>
  <c r="AH522" i="3" s="1"/>
  <c r="U521" i="3"/>
  <c r="Y520" i="3"/>
  <c r="D522" i="3" l="1"/>
  <c r="G522" i="3" s="1"/>
  <c r="AG522" i="3"/>
  <c r="E522" i="3"/>
  <c r="H522" i="3" s="1"/>
  <c r="K522" i="3" s="1"/>
  <c r="AE522" i="3" s="1"/>
  <c r="F522" i="3" l="1"/>
  <c r="V522" i="3"/>
  <c r="A523" i="3"/>
  <c r="B523" i="3" s="1"/>
  <c r="I522" i="3"/>
  <c r="J522" i="3"/>
  <c r="M522" i="3"/>
  <c r="N522" i="3" s="1"/>
  <c r="AD523" i="3" l="1"/>
  <c r="P523" i="3"/>
  <c r="Q523" i="3" s="1"/>
  <c r="R523" i="3" s="1"/>
  <c r="S523" i="3" s="1"/>
  <c r="Z523" i="3"/>
  <c r="AC523" i="3"/>
  <c r="AA523" i="3"/>
  <c r="L522" i="3"/>
  <c r="W522" i="3"/>
  <c r="T523" i="3" l="1"/>
  <c r="AH523" i="3" s="1"/>
  <c r="U522" i="3"/>
  <c r="Y521" i="3"/>
  <c r="AG523" i="3" l="1"/>
  <c r="D523" i="3"/>
  <c r="G523" i="3" s="1"/>
  <c r="E523" i="3"/>
  <c r="H523" i="3" s="1"/>
  <c r="K523" i="3" s="1"/>
  <c r="AE523" i="3" s="1"/>
  <c r="F523" i="3" l="1"/>
  <c r="I523" i="3"/>
  <c r="J523" i="3"/>
  <c r="M523" i="3"/>
  <c r="N523" i="3" s="1"/>
  <c r="V523" i="3"/>
  <c r="A524" i="3"/>
  <c r="B524" i="3" s="1"/>
  <c r="W523" i="3" l="1"/>
  <c r="AA524" i="3"/>
  <c r="Z524" i="3"/>
  <c r="AC524" i="3"/>
  <c r="P524" i="3"/>
  <c r="Q524" i="3" s="1"/>
  <c r="R524" i="3" s="1"/>
  <c r="S524" i="3" s="1"/>
  <c r="L523" i="3"/>
  <c r="T524" i="3" l="1"/>
  <c r="AH524" i="3" s="1"/>
  <c r="U523" i="3"/>
  <c r="Y522" i="3"/>
  <c r="D524" i="3" l="1"/>
  <c r="G524" i="3" s="1"/>
  <c r="AG524" i="3"/>
  <c r="E524" i="3"/>
  <c r="H524" i="3" s="1"/>
  <c r="K524" i="3" s="1"/>
  <c r="AE524" i="3" s="1"/>
  <c r="F524" i="3" l="1"/>
  <c r="V524" i="3"/>
  <c r="A525" i="3"/>
  <c r="B525" i="3" s="1"/>
  <c r="I524" i="3"/>
  <c r="J524" i="3"/>
  <c r="AD524" i="3" s="1"/>
  <c r="M524" i="3"/>
  <c r="N524" i="3" s="1"/>
  <c r="L524" i="3" l="1"/>
  <c r="AC525" i="3"/>
  <c r="AA525" i="3"/>
  <c r="AD525" i="3"/>
  <c r="Z525" i="3"/>
  <c r="P525" i="3"/>
  <c r="Q525" i="3" s="1"/>
  <c r="R525" i="3" s="1"/>
  <c r="S525" i="3" s="1"/>
  <c r="W524" i="3"/>
  <c r="T525" i="3" l="1"/>
  <c r="AG525" i="3" s="1"/>
  <c r="U524" i="3"/>
  <c r="Y523" i="3"/>
  <c r="D525" i="3" l="1"/>
  <c r="G525" i="3" s="1"/>
  <c r="AH525" i="3"/>
  <c r="E525" i="3"/>
  <c r="H525" i="3" s="1"/>
  <c r="K525" i="3" s="1"/>
  <c r="AE525" i="3" s="1"/>
  <c r="F525" i="3" l="1"/>
  <c r="V525" i="3"/>
  <c r="A526" i="3"/>
  <c r="B526" i="3" s="1"/>
  <c r="I525" i="3"/>
  <c r="J525" i="3"/>
  <c r="M525" i="3"/>
  <c r="N525" i="3" s="1"/>
  <c r="P526" i="3" l="1"/>
  <c r="Q526" i="3" s="1"/>
  <c r="R526" i="3" s="1"/>
  <c r="S526" i="3" s="1"/>
  <c r="AA526" i="3"/>
  <c r="Z526" i="3"/>
  <c r="AD526" i="3"/>
  <c r="AC526" i="3"/>
  <c r="L525" i="3"/>
  <c r="W525" i="3"/>
  <c r="U525" i="3" l="1"/>
  <c r="Y524" i="3"/>
  <c r="T526" i="3"/>
  <c r="D526" i="3" l="1"/>
  <c r="G526" i="3" s="1"/>
  <c r="E526" i="3"/>
  <c r="H526" i="3" s="1"/>
  <c r="AG526" i="3"/>
  <c r="AH526" i="3"/>
  <c r="I526" i="3" l="1"/>
  <c r="J526" i="3"/>
  <c r="M526" i="3"/>
  <c r="N526" i="3" s="1"/>
  <c r="K526" i="3"/>
  <c r="AE526" i="3" s="1"/>
  <c r="F526" i="3"/>
  <c r="V526" i="3" l="1"/>
  <c r="W526" i="3" s="1"/>
  <c r="A527" i="3"/>
  <c r="B527" i="3" s="1"/>
  <c r="L526" i="3"/>
  <c r="U526" i="3" l="1"/>
  <c r="Y525" i="3"/>
  <c r="AA527" i="3"/>
  <c r="P527" i="3"/>
  <c r="Q527" i="3" s="1"/>
  <c r="R527" i="3" s="1"/>
  <c r="S527" i="3" s="1"/>
  <c r="AD527" i="3"/>
  <c r="Z527" i="3"/>
  <c r="AC527" i="3"/>
  <c r="T527" i="3" l="1"/>
  <c r="E527" i="3" s="1"/>
  <c r="H527" i="3" s="1"/>
  <c r="D527" i="3" l="1"/>
  <c r="F527" i="3" s="1"/>
  <c r="K527" i="3"/>
  <c r="AE527" i="3" s="1"/>
  <c r="AH527" i="3"/>
  <c r="AG527" i="3"/>
  <c r="G527" i="3" l="1"/>
  <c r="I527" i="3" s="1"/>
  <c r="V527" i="3"/>
  <c r="A528" i="3"/>
  <c r="B528" i="3" s="1"/>
  <c r="M527" i="3" l="1"/>
  <c r="N527" i="3" s="1"/>
  <c r="J527" i="3"/>
  <c r="L527" i="3" s="1"/>
  <c r="W527" i="3"/>
  <c r="AC528" i="3"/>
  <c r="AD528" i="3"/>
  <c r="AA528" i="3"/>
  <c r="Z528" i="3"/>
  <c r="P528" i="3"/>
  <c r="Q528" i="3" s="1"/>
  <c r="R528" i="3" s="1"/>
  <c r="S528" i="3" s="1"/>
  <c r="T528" i="3" l="1"/>
  <c r="AH528" i="3" s="1"/>
  <c r="U527" i="3"/>
  <c r="Y526" i="3"/>
  <c r="D528" i="3" l="1"/>
  <c r="G528" i="3" s="1"/>
  <c r="AG528" i="3"/>
  <c r="E528" i="3"/>
  <c r="H528" i="3" s="1"/>
  <c r="K528" i="3" s="1"/>
  <c r="AE528" i="3" s="1"/>
  <c r="F528" i="3" l="1"/>
  <c r="V528" i="3"/>
  <c r="A529" i="3"/>
  <c r="B529" i="3" s="1"/>
  <c r="I528" i="3"/>
  <c r="J528" i="3"/>
  <c r="M528" i="3"/>
  <c r="N528" i="3" s="1"/>
  <c r="AA529" i="3" l="1"/>
  <c r="P529" i="3"/>
  <c r="Q529" i="3" s="1"/>
  <c r="R529" i="3" s="1"/>
  <c r="S529" i="3" s="1"/>
  <c r="AD529" i="3"/>
  <c r="AC529" i="3"/>
  <c r="Z529" i="3"/>
  <c r="L528" i="3"/>
  <c r="W528" i="3"/>
  <c r="T529" i="3" l="1"/>
  <c r="AG529" i="3" s="1"/>
  <c r="U528" i="3"/>
  <c r="Y527" i="3"/>
  <c r="E529" i="3" l="1"/>
  <c r="H529" i="3" s="1"/>
  <c r="K529" i="3" s="1"/>
  <c r="AE529" i="3" s="1"/>
  <c r="D529" i="3"/>
  <c r="AH529" i="3"/>
  <c r="F529" i="3" l="1"/>
  <c r="G529" i="3"/>
  <c r="I529" i="3" s="1"/>
  <c r="V529" i="3"/>
  <c r="A530" i="3"/>
  <c r="B530" i="3" s="1"/>
  <c r="W529" i="3" l="1"/>
  <c r="M529" i="3"/>
  <c r="N529" i="3" s="1"/>
  <c r="J529" i="3"/>
  <c r="L529" i="3" s="1"/>
  <c r="AC530" i="3"/>
  <c r="AA530" i="3"/>
  <c r="AD530" i="3"/>
  <c r="P530" i="3"/>
  <c r="Q530" i="3" s="1"/>
  <c r="R530" i="3" s="1"/>
  <c r="S530" i="3" s="1"/>
  <c r="Z530" i="3"/>
  <c r="T530" i="3" l="1"/>
  <c r="AH530" i="3" s="1"/>
  <c r="U529" i="3"/>
  <c r="Y528" i="3"/>
  <c r="E530" i="3" l="1"/>
  <c r="H530" i="3" s="1"/>
  <c r="K530" i="3" s="1"/>
  <c r="AE530" i="3" s="1"/>
  <c r="AG530" i="3"/>
  <c r="D530" i="3"/>
  <c r="F530" i="3" l="1"/>
  <c r="G530" i="3"/>
  <c r="V530" i="3"/>
  <c r="A531" i="3"/>
  <c r="B531" i="3" s="1"/>
  <c r="Z531" i="3" l="1"/>
  <c r="AD531" i="3"/>
  <c r="AC531" i="3"/>
  <c r="AA531" i="3"/>
  <c r="P531" i="3"/>
  <c r="Q531" i="3" s="1"/>
  <c r="R531" i="3" s="1"/>
  <c r="S531" i="3" s="1"/>
  <c r="I530" i="3"/>
  <c r="W530" i="3" s="1"/>
  <c r="J530" i="3"/>
  <c r="M530" i="3"/>
  <c r="N530" i="3" s="1"/>
  <c r="T531" i="3" l="1"/>
  <c r="L530" i="3"/>
  <c r="U530" i="3" l="1"/>
  <c r="D531" i="3" s="1"/>
  <c r="AH531" i="3"/>
  <c r="AG531" i="3"/>
  <c r="Y529" i="3"/>
  <c r="E531" i="3" l="1"/>
  <c r="H531" i="3" s="1"/>
  <c r="K531" i="3" s="1"/>
  <c r="AE531" i="3" s="1"/>
  <c r="G531" i="3"/>
  <c r="F531" i="3" l="1"/>
  <c r="I531" i="3"/>
  <c r="J531" i="3"/>
  <c r="M531" i="3"/>
  <c r="N531" i="3" s="1"/>
  <c r="V531" i="3"/>
  <c r="A532" i="3"/>
  <c r="B532" i="3" s="1"/>
  <c r="W531" i="3" l="1"/>
  <c r="Z532" i="3"/>
  <c r="AA532" i="3"/>
  <c r="P532" i="3"/>
  <c r="Q532" i="3" s="1"/>
  <c r="R532" i="3" s="1"/>
  <c r="S532" i="3" s="1"/>
  <c r="AD532" i="3"/>
  <c r="AC532" i="3"/>
  <c r="L531" i="3"/>
  <c r="T532" i="3" l="1"/>
  <c r="AH532" i="3" s="1"/>
  <c r="U531" i="3"/>
  <c r="Y530" i="3"/>
  <c r="D532" i="3" l="1"/>
  <c r="G532" i="3" s="1"/>
  <c r="AG532" i="3"/>
  <c r="E532" i="3"/>
  <c r="H532" i="3" s="1"/>
  <c r="K532" i="3" s="1"/>
  <c r="AE532" i="3" s="1"/>
  <c r="F532" i="3" l="1"/>
  <c r="I532" i="3"/>
  <c r="J532" i="3"/>
  <c r="M532" i="3"/>
  <c r="N532" i="3" s="1"/>
  <c r="V532" i="3"/>
  <c r="A533" i="3"/>
  <c r="B533" i="3" s="1"/>
  <c r="W532" i="3" l="1"/>
  <c r="AA533" i="3"/>
  <c r="AC533" i="3"/>
  <c r="Z533" i="3"/>
  <c r="AD533" i="3"/>
  <c r="P533" i="3"/>
  <c r="Q533" i="3" s="1"/>
  <c r="R533" i="3" s="1"/>
  <c r="S533" i="3" s="1"/>
  <c r="L532" i="3"/>
  <c r="T533" i="3" l="1"/>
  <c r="AH533" i="3" s="1"/>
  <c r="U532" i="3"/>
  <c r="Y531" i="3"/>
  <c r="AG533" i="3" l="1"/>
  <c r="E533" i="3"/>
  <c r="H533" i="3" s="1"/>
  <c r="K533" i="3" s="1"/>
  <c r="AE533" i="3" s="1"/>
  <c r="D533" i="3"/>
  <c r="F533" i="3" l="1"/>
  <c r="G533" i="3"/>
  <c r="I533" i="3" s="1"/>
  <c r="V533" i="3"/>
  <c r="A534" i="3"/>
  <c r="B534" i="3" s="1"/>
  <c r="W533" i="3" l="1"/>
  <c r="J533" i="3"/>
  <c r="L533" i="3" s="1"/>
  <c r="M533" i="3"/>
  <c r="N533" i="3" s="1"/>
  <c r="Z534" i="3"/>
  <c r="AC534" i="3"/>
  <c r="P534" i="3"/>
  <c r="Q534" i="3" s="1"/>
  <c r="R534" i="3" s="1"/>
  <c r="S534" i="3" s="1"/>
  <c r="AA534" i="3"/>
  <c r="T534" i="3" l="1"/>
  <c r="AG534" i="3" s="1"/>
  <c r="U533" i="3"/>
  <c r="Y532" i="3"/>
  <c r="AH534" i="3" l="1"/>
  <c r="E534" i="3"/>
  <c r="H534" i="3" s="1"/>
  <c r="K534" i="3" s="1"/>
  <c r="AE534" i="3" s="1"/>
  <c r="D534" i="3"/>
  <c r="F534" i="3" l="1"/>
  <c r="G534" i="3"/>
  <c r="I534" i="3" s="1"/>
  <c r="V534" i="3"/>
  <c r="A535" i="3"/>
  <c r="B535" i="3" s="1"/>
  <c r="M534" i="3" l="1"/>
  <c r="N534" i="3" s="1"/>
  <c r="J534" i="3"/>
  <c r="AD534" i="3" s="1"/>
  <c r="W534" i="3"/>
  <c r="Z535" i="3"/>
  <c r="AC535" i="3"/>
  <c r="AD535" i="3"/>
  <c r="P535" i="3"/>
  <c r="Q535" i="3" s="1"/>
  <c r="R535" i="3" s="1"/>
  <c r="S535" i="3" s="1"/>
  <c r="AA535" i="3"/>
  <c r="L534" i="3" l="1"/>
  <c r="U534" i="3" s="1"/>
  <c r="T535" i="3"/>
  <c r="Y533" i="3" l="1"/>
  <c r="AH535" i="3"/>
  <c r="E535" i="3"/>
  <c r="H535" i="3" s="1"/>
  <c r="K535" i="3" s="1"/>
  <c r="AE535" i="3" s="1"/>
  <c r="AG535" i="3"/>
  <c r="D535" i="3"/>
  <c r="F535" i="3" l="1"/>
  <c r="G535" i="3"/>
  <c r="V535" i="3"/>
  <c r="A536" i="3"/>
  <c r="B536" i="3" s="1"/>
  <c r="AD536" i="3" l="1"/>
  <c r="AC536" i="3"/>
  <c r="Z536" i="3"/>
  <c r="P536" i="3"/>
  <c r="Q536" i="3" s="1"/>
  <c r="R536" i="3" s="1"/>
  <c r="S536" i="3" s="1"/>
  <c r="AA536" i="3"/>
  <c r="I535" i="3"/>
  <c r="W535" i="3" s="1"/>
  <c r="J535" i="3"/>
  <c r="M535" i="3"/>
  <c r="N535" i="3" s="1"/>
  <c r="T536" i="3" l="1"/>
  <c r="L535" i="3"/>
  <c r="U535" i="3" l="1"/>
  <c r="E536" i="3" s="1"/>
  <c r="H536" i="3" s="1"/>
  <c r="AG536" i="3"/>
  <c r="AH536" i="3"/>
  <c r="Y534" i="3"/>
  <c r="K536" i="3" l="1"/>
  <c r="AE536" i="3" s="1"/>
  <c r="D536" i="3"/>
  <c r="F536" i="3" l="1"/>
  <c r="G536" i="3"/>
  <c r="V536" i="3"/>
  <c r="A537" i="3"/>
  <c r="B537" i="3" s="1"/>
  <c r="P537" i="3" l="1"/>
  <c r="Q537" i="3" s="1"/>
  <c r="R537" i="3" s="1"/>
  <c r="S537" i="3" s="1"/>
  <c r="Z537" i="3"/>
  <c r="AD537" i="3"/>
  <c r="AA537" i="3"/>
  <c r="AC537" i="3"/>
  <c r="I536" i="3"/>
  <c r="W536" i="3" s="1"/>
  <c r="J536" i="3"/>
  <c r="M536" i="3"/>
  <c r="N536" i="3" s="1"/>
  <c r="L536" i="3" l="1"/>
  <c r="T537" i="3"/>
  <c r="U536" i="3" l="1"/>
  <c r="E537" i="3" s="1"/>
  <c r="H537" i="3" s="1"/>
  <c r="AG537" i="3"/>
  <c r="AH537" i="3"/>
  <c r="Y535" i="3"/>
  <c r="D537" i="3" l="1"/>
  <c r="F537" i="3" s="1"/>
  <c r="K537" i="3"/>
  <c r="AE537" i="3" s="1"/>
  <c r="G537" i="3" l="1"/>
  <c r="I537" i="3" s="1"/>
  <c r="V537" i="3"/>
  <c r="A538" i="3"/>
  <c r="B538" i="3" s="1"/>
  <c r="M537" i="3" l="1"/>
  <c r="N537" i="3" s="1"/>
  <c r="J537" i="3"/>
  <c r="L537" i="3" s="1"/>
  <c r="W537" i="3"/>
  <c r="Z538" i="3"/>
  <c r="P538" i="3"/>
  <c r="Q538" i="3" s="1"/>
  <c r="R538" i="3" s="1"/>
  <c r="S538" i="3" s="1"/>
  <c r="AA538" i="3"/>
  <c r="AC538" i="3"/>
  <c r="AD538" i="3"/>
  <c r="T538" i="3" l="1"/>
  <c r="AG538" i="3" s="1"/>
  <c r="U537" i="3"/>
  <c r="Y536" i="3"/>
  <c r="E538" i="3" l="1"/>
  <c r="H538" i="3" s="1"/>
  <c r="K538" i="3" s="1"/>
  <c r="AE538" i="3" s="1"/>
  <c r="AH538" i="3"/>
  <c r="D538" i="3"/>
  <c r="F538" i="3" l="1"/>
  <c r="G538" i="3"/>
  <c r="I538" i="3" s="1"/>
  <c r="V538" i="3"/>
  <c r="A539" i="3"/>
  <c r="B539" i="3" s="1"/>
  <c r="M538" i="3" l="1"/>
  <c r="N538" i="3" s="1"/>
  <c r="J538" i="3"/>
  <c r="L538" i="3" s="1"/>
  <c r="W538" i="3"/>
  <c r="AA539" i="3"/>
  <c r="AC539" i="3"/>
  <c r="Z539" i="3"/>
  <c r="AD539" i="3"/>
  <c r="P539" i="3"/>
  <c r="Q539" i="3" s="1"/>
  <c r="R539" i="3" s="1"/>
  <c r="S539" i="3" s="1"/>
  <c r="T539" i="3" l="1"/>
  <c r="AG539" i="3" s="1"/>
  <c r="U538" i="3"/>
  <c r="Y537" i="3"/>
  <c r="AH539" i="3" l="1"/>
  <c r="D539" i="3"/>
  <c r="G539" i="3" s="1"/>
  <c r="E539" i="3"/>
  <c r="H539" i="3" s="1"/>
  <c r="K539" i="3" s="1"/>
  <c r="AE539" i="3" s="1"/>
  <c r="F539" i="3" l="1"/>
  <c r="I539" i="3"/>
  <c r="J539" i="3"/>
  <c r="M539" i="3"/>
  <c r="N539" i="3" s="1"/>
  <c r="V539" i="3"/>
  <c r="W539" i="3" s="1"/>
  <c r="A540" i="3"/>
  <c r="B540" i="3" s="1"/>
  <c r="Z540" i="3" l="1"/>
  <c r="P540" i="3"/>
  <c r="Q540" i="3" s="1"/>
  <c r="R540" i="3" s="1"/>
  <c r="S540" i="3" s="1"/>
  <c r="AC540" i="3"/>
  <c r="AA540" i="3"/>
  <c r="AD540" i="3"/>
  <c r="L539" i="3"/>
  <c r="U539" i="3" l="1"/>
  <c r="Y538" i="3"/>
  <c r="T540" i="3"/>
  <c r="D540" i="3" l="1"/>
  <c r="G540" i="3" s="1"/>
  <c r="E540" i="3"/>
  <c r="H540" i="3" s="1"/>
  <c r="AG540" i="3"/>
  <c r="AH540" i="3"/>
  <c r="K540" i="3" l="1"/>
  <c r="AE540" i="3" s="1"/>
  <c r="I540" i="3"/>
  <c r="J540" i="3"/>
  <c r="M540" i="3"/>
  <c r="N540" i="3" s="1"/>
  <c r="F540" i="3"/>
  <c r="L540" i="3" l="1"/>
  <c r="V540" i="3"/>
  <c r="W540" i="3" s="1"/>
  <c r="A541" i="3"/>
  <c r="B541" i="3" s="1"/>
  <c r="AA541" i="3" l="1"/>
  <c r="AD541" i="3"/>
  <c r="Z541" i="3"/>
  <c r="AC541" i="3"/>
  <c r="P541" i="3"/>
  <c r="Q541" i="3" s="1"/>
  <c r="R541" i="3" s="1"/>
  <c r="S541" i="3" s="1"/>
  <c r="U540" i="3"/>
  <c r="Y539" i="3"/>
  <c r="T541" i="3" l="1"/>
  <c r="D541" i="3" s="1"/>
  <c r="E541" i="3" l="1"/>
  <c r="H541" i="3" s="1"/>
  <c r="K541" i="3" s="1"/>
  <c r="AE541" i="3" s="1"/>
  <c r="AH541" i="3"/>
  <c r="AG541" i="3"/>
  <c r="G541" i="3"/>
  <c r="F541" i="3" l="1"/>
  <c r="V541" i="3"/>
  <c r="A542" i="3"/>
  <c r="B542" i="3" s="1"/>
  <c r="I541" i="3"/>
  <c r="J541" i="3"/>
  <c r="M541" i="3"/>
  <c r="N541" i="3" s="1"/>
  <c r="L541" i="3" l="1"/>
  <c r="P542" i="3"/>
  <c r="Q542" i="3" s="1"/>
  <c r="R542" i="3" s="1"/>
  <c r="S542" i="3" s="1"/>
  <c r="AA542" i="3"/>
  <c r="Z542" i="3"/>
  <c r="AD542" i="3"/>
  <c r="AC542" i="3"/>
  <c r="W541" i="3"/>
  <c r="T542" i="3" l="1"/>
  <c r="AH542" i="3" s="1"/>
  <c r="U541" i="3"/>
  <c r="Y540" i="3"/>
  <c r="D542" i="3" l="1"/>
  <c r="G542" i="3" s="1"/>
  <c r="AG542" i="3"/>
  <c r="E542" i="3"/>
  <c r="H542" i="3" s="1"/>
  <c r="K542" i="3" s="1"/>
  <c r="AE542" i="3" s="1"/>
  <c r="F542" i="3" l="1"/>
  <c r="V542" i="3"/>
  <c r="A543" i="3"/>
  <c r="B543" i="3" s="1"/>
  <c r="I542" i="3"/>
  <c r="J542" i="3"/>
  <c r="M542" i="3"/>
  <c r="N542" i="3" s="1"/>
  <c r="L542" i="3" l="1"/>
  <c r="AC543" i="3"/>
  <c r="P543" i="3"/>
  <c r="Q543" i="3" s="1"/>
  <c r="R543" i="3" s="1"/>
  <c r="S543" i="3" s="1"/>
  <c r="AA543" i="3"/>
  <c r="Z543" i="3"/>
  <c r="AD543" i="3"/>
  <c r="W542" i="3"/>
  <c r="T543" i="3" l="1"/>
  <c r="AH543" i="3" s="1"/>
  <c r="U542" i="3"/>
  <c r="Y541" i="3"/>
  <c r="D543" i="3" l="1"/>
  <c r="G543" i="3" s="1"/>
  <c r="AG543" i="3"/>
  <c r="E543" i="3"/>
  <c r="H543" i="3" s="1"/>
  <c r="K543" i="3" s="1"/>
  <c r="AE543" i="3" s="1"/>
  <c r="F543" i="3" l="1"/>
  <c r="V543" i="3"/>
  <c r="A544" i="3"/>
  <c r="B544" i="3" s="1"/>
  <c r="I543" i="3"/>
  <c r="J543" i="3"/>
  <c r="M543" i="3"/>
  <c r="N543" i="3" s="1"/>
  <c r="L543" i="3" l="1"/>
  <c r="P544" i="3"/>
  <c r="Q544" i="3" s="1"/>
  <c r="R544" i="3" s="1"/>
  <c r="S544" i="3" s="1"/>
  <c r="AA544" i="3"/>
  <c r="AC544" i="3"/>
  <c r="Z544" i="3"/>
  <c r="W543" i="3"/>
  <c r="T544" i="3" l="1"/>
  <c r="AG544" i="3" s="1"/>
  <c r="U543" i="3"/>
  <c r="Y542" i="3"/>
  <c r="E544" i="3" l="1"/>
  <c r="H544" i="3" s="1"/>
  <c r="K544" i="3" s="1"/>
  <c r="AE544" i="3" s="1"/>
  <c r="AH544" i="3"/>
  <c r="D544" i="3"/>
  <c r="F544" i="3" l="1"/>
  <c r="G544" i="3"/>
  <c r="I544" i="3" s="1"/>
  <c r="V544" i="3"/>
  <c r="A545" i="3"/>
  <c r="B545" i="3" s="1"/>
  <c r="M544" i="3" l="1"/>
  <c r="N544" i="3" s="1"/>
  <c r="J544" i="3"/>
  <c r="AD544" i="3" s="1"/>
  <c r="W544" i="3"/>
  <c r="P545" i="3"/>
  <c r="Q545" i="3" s="1"/>
  <c r="R545" i="3" s="1"/>
  <c r="S545" i="3" s="1"/>
  <c r="AD545" i="3"/>
  <c r="Z545" i="3"/>
  <c r="AC545" i="3"/>
  <c r="AA545" i="3"/>
  <c r="L544" i="3" l="1"/>
  <c r="U544" i="3" s="1"/>
  <c r="T545" i="3"/>
  <c r="Y543" i="3" l="1"/>
  <c r="AH545" i="3"/>
  <c r="D545" i="3"/>
  <c r="G545" i="3" s="1"/>
  <c r="AG545" i="3"/>
  <c r="E545" i="3"/>
  <c r="H545" i="3" s="1"/>
  <c r="K545" i="3" s="1"/>
  <c r="AE545" i="3" s="1"/>
  <c r="F545" i="3" l="1"/>
  <c r="I545" i="3"/>
  <c r="J545" i="3"/>
  <c r="M545" i="3"/>
  <c r="N545" i="3" s="1"/>
  <c r="V545" i="3"/>
  <c r="A546" i="3"/>
  <c r="B546" i="3" s="1"/>
  <c r="W545" i="3" l="1"/>
  <c r="Z546" i="3"/>
  <c r="AA546" i="3"/>
  <c r="AD546" i="3"/>
  <c r="P546" i="3"/>
  <c r="Q546" i="3" s="1"/>
  <c r="R546" i="3" s="1"/>
  <c r="S546" i="3" s="1"/>
  <c r="AC546" i="3"/>
  <c r="L545" i="3"/>
  <c r="T546" i="3" l="1"/>
  <c r="AG546" i="3" s="1"/>
  <c r="U545" i="3"/>
  <c r="Y544" i="3"/>
  <c r="E546" i="3" l="1"/>
  <c r="H546" i="3" s="1"/>
  <c r="K546" i="3" s="1"/>
  <c r="AE546" i="3" s="1"/>
  <c r="AH546" i="3"/>
  <c r="D546" i="3"/>
  <c r="V546" i="3" l="1"/>
  <c r="A547" i="3"/>
  <c r="B547" i="3" s="1"/>
  <c r="F546" i="3"/>
  <c r="G546" i="3"/>
  <c r="I546" i="3" l="1"/>
  <c r="W546" i="3" s="1"/>
  <c r="J546" i="3"/>
  <c r="M546" i="3"/>
  <c r="N546" i="3" s="1"/>
  <c r="AA547" i="3"/>
  <c r="AC547" i="3"/>
  <c r="AD547" i="3"/>
  <c r="Z547" i="3"/>
  <c r="P547" i="3"/>
  <c r="Q547" i="3" s="1"/>
  <c r="R547" i="3" s="1"/>
  <c r="S547" i="3" s="1"/>
  <c r="T547" i="3" l="1"/>
  <c r="L546" i="3"/>
  <c r="U546" i="3" l="1"/>
  <c r="E547" i="3" s="1"/>
  <c r="H547" i="3" s="1"/>
  <c r="AH547" i="3"/>
  <c r="AG547" i="3"/>
  <c r="Y545" i="3"/>
  <c r="D547" i="3" l="1"/>
  <c r="F547" i="3" s="1"/>
  <c r="K547" i="3"/>
  <c r="AE547" i="3" s="1"/>
  <c r="G547" i="3" l="1"/>
  <c r="M547" i="3" s="1"/>
  <c r="N547" i="3" s="1"/>
  <c r="V547" i="3"/>
  <c r="A548" i="3"/>
  <c r="B548" i="3" s="1"/>
  <c r="J547" i="3" l="1"/>
  <c r="L547" i="3" s="1"/>
  <c r="I547" i="3"/>
  <c r="W547" i="3" s="1"/>
  <c r="AC548" i="3"/>
  <c r="P548" i="3"/>
  <c r="Q548" i="3" s="1"/>
  <c r="R548" i="3" s="1"/>
  <c r="S548" i="3" s="1"/>
  <c r="AD548" i="3"/>
  <c r="Z548" i="3"/>
  <c r="AA548" i="3"/>
  <c r="T548" i="3" l="1"/>
  <c r="AH548" i="3" s="1"/>
  <c r="U547" i="3"/>
  <c r="Y546" i="3"/>
  <c r="E548" i="3" l="1"/>
  <c r="H548" i="3" s="1"/>
  <c r="K548" i="3" s="1"/>
  <c r="AE548" i="3" s="1"/>
  <c r="AG548" i="3"/>
  <c r="D548" i="3"/>
  <c r="G548" i="3" s="1"/>
  <c r="F548" i="3" l="1"/>
  <c r="I548" i="3"/>
  <c r="J548" i="3"/>
  <c r="M548" i="3"/>
  <c r="N548" i="3" s="1"/>
  <c r="V548" i="3"/>
  <c r="A549" i="3"/>
  <c r="B549" i="3" s="1"/>
  <c r="W548" i="3" l="1"/>
  <c r="AA549" i="3"/>
  <c r="P549" i="3"/>
  <c r="Q549" i="3" s="1"/>
  <c r="R549" i="3" s="1"/>
  <c r="S549" i="3" s="1"/>
  <c r="Z549" i="3"/>
  <c r="AC549" i="3"/>
  <c r="AD549" i="3"/>
  <c r="L548" i="3"/>
  <c r="U548" i="3" l="1"/>
  <c r="Y547" i="3"/>
  <c r="T549" i="3"/>
  <c r="D549" i="3" l="1"/>
  <c r="G549" i="3" s="1"/>
  <c r="AG549" i="3"/>
  <c r="AH549" i="3"/>
  <c r="E549" i="3"/>
  <c r="H549" i="3" s="1"/>
  <c r="K549" i="3" l="1"/>
  <c r="AE549" i="3" s="1"/>
  <c r="I549" i="3"/>
  <c r="J549" i="3"/>
  <c r="M549" i="3"/>
  <c r="N549" i="3" s="1"/>
  <c r="F549" i="3"/>
  <c r="L549" i="3" l="1"/>
  <c r="V549" i="3"/>
  <c r="W549" i="3" s="1"/>
  <c r="A550" i="3"/>
  <c r="B550" i="3" s="1"/>
  <c r="U549" i="3" l="1"/>
  <c r="Y548" i="3"/>
  <c r="AC550" i="3"/>
  <c r="Z550" i="3"/>
  <c r="AD550" i="3"/>
  <c r="P550" i="3"/>
  <c r="Q550" i="3" s="1"/>
  <c r="R550" i="3" s="1"/>
  <c r="S550" i="3" s="1"/>
  <c r="AA550" i="3"/>
  <c r="T550" i="3" l="1"/>
  <c r="E550" i="3" s="1"/>
  <c r="H550" i="3" s="1"/>
  <c r="AH550" i="3" l="1"/>
  <c r="AG550" i="3"/>
  <c r="K550" i="3"/>
  <c r="AE550" i="3" s="1"/>
  <c r="D550" i="3"/>
  <c r="F550" i="3" l="1"/>
  <c r="G550" i="3"/>
  <c r="V550" i="3"/>
  <c r="A551" i="3"/>
  <c r="B551" i="3" s="1"/>
  <c r="AC551" i="3" l="1"/>
  <c r="AA551" i="3"/>
  <c r="P551" i="3"/>
  <c r="Q551" i="3" s="1"/>
  <c r="R551" i="3" s="1"/>
  <c r="S551" i="3" s="1"/>
  <c r="AD551" i="3"/>
  <c r="Z551" i="3"/>
  <c r="I550" i="3"/>
  <c r="W550" i="3" s="1"/>
  <c r="J550" i="3"/>
  <c r="M550" i="3"/>
  <c r="N550" i="3" s="1"/>
  <c r="T551" i="3" l="1"/>
  <c r="L550" i="3"/>
  <c r="AH551" i="3" l="1"/>
  <c r="AG551" i="3"/>
  <c r="U550" i="3"/>
  <c r="E551" i="3" s="1"/>
  <c r="H551" i="3" s="1"/>
  <c r="Y549" i="3"/>
  <c r="K551" i="3" l="1"/>
  <c r="AE551" i="3" s="1"/>
  <c r="D551" i="3"/>
  <c r="F551" i="3" l="1"/>
  <c r="G551" i="3"/>
  <c r="V551" i="3"/>
  <c r="A552" i="3"/>
  <c r="B552" i="3" s="1"/>
  <c r="P552" i="3" l="1"/>
  <c r="Q552" i="3" s="1"/>
  <c r="R552" i="3" s="1"/>
  <c r="S552" i="3" s="1"/>
  <c r="AD552" i="3"/>
  <c r="AA552" i="3"/>
  <c r="AC552" i="3"/>
  <c r="Z552" i="3"/>
  <c r="I551" i="3"/>
  <c r="W551" i="3" s="1"/>
  <c r="J551" i="3"/>
  <c r="M551" i="3"/>
  <c r="N551" i="3" s="1"/>
  <c r="L551" i="3" l="1"/>
  <c r="T552" i="3"/>
  <c r="AG552" i="3" l="1"/>
  <c r="U551" i="3"/>
  <c r="E552" i="3" s="1"/>
  <c r="H552" i="3" s="1"/>
  <c r="AH552" i="3"/>
  <c r="Y550" i="3"/>
  <c r="D552" i="3" l="1"/>
  <c r="F552" i="3" s="1"/>
  <c r="K552" i="3"/>
  <c r="AE552" i="3" s="1"/>
  <c r="G552" i="3" l="1"/>
  <c r="M552" i="3" s="1"/>
  <c r="N552" i="3" s="1"/>
  <c r="V552" i="3"/>
  <c r="A553" i="3"/>
  <c r="B553" i="3" s="1"/>
  <c r="J552" i="3" l="1"/>
  <c r="L552" i="3" s="1"/>
  <c r="I552" i="3"/>
  <c r="W552" i="3" s="1"/>
  <c r="AD553" i="3"/>
  <c r="P553" i="3"/>
  <c r="Q553" i="3" s="1"/>
  <c r="R553" i="3" s="1"/>
  <c r="S553" i="3" s="1"/>
  <c r="AA553" i="3"/>
  <c r="Z553" i="3"/>
  <c r="AC553" i="3"/>
  <c r="U552" i="3" l="1"/>
  <c r="Y551" i="3"/>
  <c r="T553" i="3"/>
  <c r="D553" i="3" l="1"/>
  <c r="G553" i="3" s="1"/>
  <c r="AH553" i="3"/>
  <c r="E553" i="3"/>
  <c r="H553" i="3" s="1"/>
  <c r="K553" i="3" s="1"/>
  <c r="AE553" i="3" s="1"/>
  <c r="AG553" i="3"/>
  <c r="F553" i="3" l="1"/>
  <c r="V553" i="3"/>
  <c r="A554" i="3"/>
  <c r="B554" i="3" s="1"/>
  <c r="I553" i="3"/>
  <c r="J553" i="3"/>
  <c r="M553" i="3"/>
  <c r="N553" i="3" s="1"/>
  <c r="L553" i="3" l="1"/>
  <c r="Z554" i="3"/>
  <c r="AA554" i="3"/>
  <c r="AC554" i="3"/>
  <c r="P554" i="3"/>
  <c r="Q554" i="3" s="1"/>
  <c r="R554" i="3" s="1"/>
  <c r="S554" i="3" s="1"/>
  <c r="W553" i="3"/>
  <c r="T554" i="3" l="1"/>
  <c r="AG554" i="3" s="1"/>
  <c r="U553" i="3"/>
  <c r="Y552" i="3"/>
  <c r="D554" i="3" l="1"/>
  <c r="G554" i="3" s="1"/>
  <c r="AH554" i="3"/>
  <c r="E554" i="3"/>
  <c r="H554" i="3" s="1"/>
  <c r="K554" i="3" s="1"/>
  <c r="AE554" i="3" s="1"/>
  <c r="F554" i="3" l="1"/>
  <c r="V554" i="3"/>
  <c r="A555" i="3"/>
  <c r="B555" i="3" s="1"/>
  <c r="I554" i="3"/>
  <c r="J554" i="3"/>
  <c r="AD554" i="3" s="1"/>
  <c r="M554" i="3"/>
  <c r="N554" i="3" s="1"/>
  <c r="L554" i="3" l="1"/>
  <c r="Z555" i="3"/>
  <c r="AC555" i="3"/>
  <c r="P555" i="3"/>
  <c r="Q555" i="3" s="1"/>
  <c r="R555" i="3" s="1"/>
  <c r="S555" i="3" s="1"/>
  <c r="AA555" i="3"/>
  <c r="AD555" i="3"/>
  <c r="W554" i="3"/>
  <c r="T555" i="3" l="1"/>
  <c r="AG555" i="3" s="1"/>
  <c r="U554" i="3"/>
  <c r="Y553" i="3"/>
  <c r="AH555" i="3" l="1"/>
  <c r="D555" i="3"/>
  <c r="G555" i="3" s="1"/>
  <c r="E555" i="3"/>
  <c r="H555" i="3" s="1"/>
  <c r="K555" i="3" l="1"/>
  <c r="AE555" i="3" s="1"/>
  <c r="I555" i="3"/>
  <c r="J555" i="3"/>
  <c r="M555" i="3"/>
  <c r="N555" i="3" s="1"/>
  <c r="F555" i="3"/>
  <c r="V555" i="3" l="1"/>
  <c r="W555" i="3" s="1"/>
  <c r="A556" i="3"/>
  <c r="B556" i="3" s="1"/>
  <c r="L555" i="3"/>
  <c r="U555" i="3" l="1"/>
  <c r="Y554" i="3"/>
  <c r="P556" i="3"/>
  <c r="Q556" i="3" s="1"/>
  <c r="R556" i="3" s="1"/>
  <c r="S556" i="3" s="1"/>
  <c r="AA556" i="3"/>
  <c r="AD556" i="3"/>
  <c r="Z556" i="3"/>
  <c r="AC556" i="3"/>
  <c r="T556" i="3" l="1"/>
  <c r="D556" i="3" s="1"/>
  <c r="AH556" i="3" l="1"/>
  <c r="E556" i="3"/>
  <c r="H556" i="3" s="1"/>
  <c r="K556" i="3" s="1"/>
  <c r="AE556" i="3" s="1"/>
  <c r="AG556" i="3"/>
  <c r="G556" i="3"/>
  <c r="F556" i="3" l="1"/>
  <c r="V556" i="3"/>
  <c r="A557" i="3"/>
  <c r="B557" i="3" s="1"/>
  <c r="I556" i="3"/>
  <c r="J556" i="3"/>
  <c r="M556" i="3"/>
  <c r="N556" i="3" s="1"/>
  <c r="W556" i="3" l="1"/>
  <c r="L556" i="3"/>
  <c r="AC557" i="3"/>
  <c r="Z557" i="3"/>
  <c r="AD557" i="3"/>
  <c r="AA557" i="3"/>
  <c r="P557" i="3"/>
  <c r="Q557" i="3" s="1"/>
  <c r="R557" i="3" s="1"/>
  <c r="S557" i="3" s="1"/>
  <c r="T557" i="3" l="1"/>
  <c r="AG557" i="3" s="1"/>
  <c r="U556" i="3"/>
  <c r="Y555" i="3"/>
  <c r="D557" i="3" l="1"/>
  <c r="G557" i="3" s="1"/>
  <c r="AH557" i="3"/>
  <c r="E557" i="3"/>
  <c r="H557" i="3" s="1"/>
  <c r="K557" i="3" s="1"/>
  <c r="AE557" i="3" s="1"/>
  <c r="F557" i="3" l="1"/>
  <c r="V557" i="3"/>
  <c r="A558" i="3"/>
  <c r="B558" i="3" s="1"/>
  <c r="I557" i="3"/>
  <c r="J557" i="3"/>
  <c r="M557" i="3"/>
  <c r="N557" i="3" s="1"/>
  <c r="W557" i="3" l="1"/>
  <c r="L557" i="3"/>
  <c r="P558" i="3"/>
  <c r="Q558" i="3" s="1"/>
  <c r="R558" i="3" s="1"/>
  <c r="S558" i="3" s="1"/>
  <c r="AD558" i="3"/>
  <c r="Z558" i="3"/>
  <c r="AA558" i="3"/>
  <c r="AC558" i="3"/>
  <c r="T558" i="3" l="1"/>
  <c r="AG558" i="3" s="1"/>
  <c r="U557" i="3"/>
  <c r="Y556" i="3"/>
  <c r="AH558" i="3" l="1"/>
  <c r="E558" i="3"/>
  <c r="H558" i="3" s="1"/>
  <c r="K558" i="3" s="1"/>
  <c r="AE558" i="3" s="1"/>
  <c r="D558" i="3"/>
  <c r="F558" i="3" l="1"/>
  <c r="G558" i="3"/>
  <c r="I558" i="3" s="1"/>
  <c r="V558" i="3"/>
  <c r="A559" i="3"/>
  <c r="B559" i="3" s="1"/>
  <c r="M558" i="3" l="1"/>
  <c r="N558" i="3" s="1"/>
  <c r="J558" i="3"/>
  <c r="L558" i="3" s="1"/>
  <c r="AA559" i="3"/>
  <c r="Z559" i="3"/>
  <c r="AD559" i="3"/>
  <c r="AC559" i="3"/>
  <c r="P559" i="3"/>
  <c r="Q559" i="3" s="1"/>
  <c r="R559" i="3" s="1"/>
  <c r="S559" i="3" s="1"/>
  <c r="W558" i="3"/>
  <c r="T559" i="3" l="1"/>
  <c r="AG559" i="3" s="1"/>
  <c r="U558" i="3"/>
  <c r="Y557" i="3"/>
  <c r="AH559" i="3" l="1"/>
  <c r="E559" i="3"/>
  <c r="H559" i="3" s="1"/>
  <c r="K559" i="3" s="1"/>
  <c r="AE559" i="3" s="1"/>
  <c r="D559" i="3"/>
  <c r="F559" i="3" l="1"/>
  <c r="G559" i="3"/>
  <c r="I559" i="3" s="1"/>
  <c r="V559" i="3"/>
  <c r="A560" i="3"/>
  <c r="B560" i="3" s="1"/>
  <c r="M559" i="3" l="1"/>
  <c r="N559" i="3" s="1"/>
  <c r="J559" i="3"/>
  <c r="L559" i="3" s="1"/>
  <c r="Z560" i="3"/>
  <c r="AD560" i="3"/>
  <c r="AC560" i="3"/>
  <c r="AA560" i="3"/>
  <c r="P560" i="3"/>
  <c r="Q560" i="3" s="1"/>
  <c r="R560" i="3" s="1"/>
  <c r="S560" i="3" s="1"/>
  <c r="W559" i="3"/>
  <c r="T560" i="3" l="1"/>
  <c r="AH560" i="3" s="1"/>
  <c r="U559" i="3"/>
  <c r="Y558" i="3"/>
  <c r="AG560" i="3" l="1"/>
  <c r="E560" i="3"/>
  <c r="H560" i="3" s="1"/>
  <c r="K560" i="3" s="1"/>
  <c r="AE560" i="3" s="1"/>
  <c r="D560" i="3"/>
  <c r="F560" i="3" l="1"/>
  <c r="G560" i="3"/>
  <c r="I560" i="3" s="1"/>
  <c r="V560" i="3"/>
  <c r="A561" i="3"/>
  <c r="B561" i="3" s="1"/>
  <c r="W560" i="3" l="1"/>
  <c r="J560" i="3"/>
  <c r="L560" i="3" s="1"/>
  <c r="M560" i="3"/>
  <c r="N560" i="3" s="1"/>
  <c r="AD561" i="3"/>
  <c r="AA561" i="3"/>
  <c r="P561" i="3"/>
  <c r="Q561" i="3" s="1"/>
  <c r="R561" i="3" s="1"/>
  <c r="S561" i="3" s="1"/>
  <c r="AC561" i="3"/>
  <c r="Z561" i="3"/>
  <c r="T561" i="3" l="1"/>
  <c r="AH561" i="3" s="1"/>
  <c r="U560" i="3"/>
  <c r="Y559" i="3"/>
  <c r="D561" i="3" l="1"/>
  <c r="G561" i="3" s="1"/>
  <c r="AG561" i="3"/>
  <c r="E561" i="3"/>
  <c r="H561" i="3" s="1"/>
  <c r="K561" i="3" s="1"/>
  <c r="AE561" i="3" s="1"/>
  <c r="F561" i="3" l="1"/>
  <c r="V561" i="3"/>
  <c r="A562" i="3"/>
  <c r="B562" i="3" s="1"/>
  <c r="I561" i="3"/>
  <c r="J561" i="3"/>
  <c r="M561" i="3"/>
  <c r="N561" i="3" s="1"/>
  <c r="L561" i="3" l="1"/>
  <c r="W561" i="3"/>
  <c r="AC562" i="3"/>
  <c r="Z562" i="3"/>
  <c r="AA562" i="3"/>
  <c r="AD562" i="3"/>
  <c r="P562" i="3"/>
  <c r="Q562" i="3" s="1"/>
  <c r="R562" i="3" s="1"/>
  <c r="S562" i="3" s="1"/>
  <c r="U561" i="3" l="1"/>
  <c r="Y560" i="3"/>
  <c r="T562" i="3"/>
  <c r="AG562" i="3" s="1"/>
  <c r="E562" i="3" l="1"/>
  <c r="H562" i="3" s="1"/>
  <c r="K562" i="3" s="1"/>
  <c r="AE562" i="3" s="1"/>
  <c r="D562" i="3"/>
  <c r="G562" i="3" s="1"/>
  <c r="AH562" i="3"/>
  <c r="F562" i="3" l="1"/>
  <c r="I562" i="3"/>
  <c r="J562" i="3"/>
  <c r="M562" i="3"/>
  <c r="N562" i="3" s="1"/>
  <c r="V562" i="3"/>
  <c r="W562" i="3" s="1"/>
  <c r="A563" i="3"/>
  <c r="B563" i="3" s="1"/>
  <c r="Z563" i="3" l="1"/>
  <c r="AC563" i="3"/>
  <c r="AA563" i="3"/>
  <c r="AD563" i="3"/>
  <c r="P563" i="3"/>
  <c r="Q563" i="3" s="1"/>
  <c r="R563" i="3" s="1"/>
  <c r="S563" i="3" s="1"/>
  <c r="L562" i="3"/>
  <c r="T563" i="3" l="1"/>
  <c r="AH563" i="3" s="1"/>
  <c r="U562" i="3"/>
  <c r="Y561" i="3"/>
  <c r="E563" i="3" l="1"/>
  <c r="H563" i="3" s="1"/>
  <c r="K563" i="3" s="1"/>
  <c r="AE563" i="3" s="1"/>
  <c r="D563" i="3"/>
  <c r="AG563" i="3"/>
  <c r="F563" i="3" l="1"/>
  <c r="G563" i="3"/>
  <c r="I563" i="3" s="1"/>
  <c r="V563" i="3"/>
  <c r="A564" i="3"/>
  <c r="B564" i="3" s="1"/>
  <c r="M563" i="3" l="1"/>
  <c r="N563" i="3" s="1"/>
  <c r="J563" i="3"/>
  <c r="L563" i="3" s="1"/>
  <c r="P564" i="3"/>
  <c r="Q564" i="3" s="1"/>
  <c r="R564" i="3" s="1"/>
  <c r="S564" i="3" s="1"/>
  <c r="AC564" i="3"/>
  <c r="AA564" i="3"/>
  <c r="Z564" i="3"/>
  <c r="W563" i="3"/>
  <c r="T564" i="3" l="1"/>
  <c r="AH564" i="3" s="1"/>
  <c r="U563" i="3"/>
  <c r="Y562" i="3"/>
  <c r="D564" i="3" l="1"/>
  <c r="G564" i="3" s="1"/>
  <c r="AG564" i="3"/>
  <c r="E564" i="3"/>
  <c r="H564" i="3" s="1"/>
  <c r="K564" i="3" s="1"/>
  <c r="AE564" i="3" s="1"/>
  <c r="F564" i="3" l="1"/>
  <c r="V564" i="3"/>
  <c r="A565" i="3"/>
  <c r="B565" i="3" s="1"/>
  <c r="I564" i="3"/>
  <c r="J564" i="3"/>
  <c r="AD564" i="3" s="1"/>
  <c r="M564" i="3"/>
  <c r="N564" i="3" s="1"/>
  <c r="L564" i="3" l="1"/>
  <c r="AD565" i="3"/>
  <c r="Z565" i="3"/>
  <c r="AC565" i="3"/>
  <c r="AA565" i="3"/>
  <c r="P565" i="3"/>
  <c r="Q565" i="3" s="1"/>
  <c r="R565" i="3" s="1"/>
  <c r="S565" i="3" s="1"/>
  <c r="W564" i="3"/>
  <c r="T565" i="3" l="1"/>
  <c r="AH565" i="3" s="1"/>
  <c r="U564" i="3"/>
  <c r="Y563" i="3"/>
  <c r="AG565" i="3" l="1"/>
  <c r="E565" i="3"/>
  <c r="H565" i="3" s="1"/>
  <c r="K565" i="3" s="1"/>
  <c r="AE565" i="3" s="1"/>
  <c r="D565" i="3"/>
  <c r="F565" i="3" l="1"/>
  <c r="G565" i="3"/>
  <c r="I565" i="3" s="1"/>
  <c r="V565" i="3"/>
  <c r="A566" i="3"/>
  <c r="B566" i="3" s="1"/>
  <c r="M565" i="3" l="1"/>
  <c r="N565" i="3" s="1"/>
  <c r="W565" i="3"/>
  <c r="J565" i="3"/>
  <c r="L565" i="3" s="1"/>
  <c r="AC566" i="3"/>
  <c r="AD566" i="3"/>
  <c r="Z566" i="3"/>
  <c r="AA566" i="3"/>
  <c r="P566" i="3"/>
  <c r="Q566" i="3" s="1"/>
  <c r="R566" i="3" s="1"/>
  <c r="S566" i="3" s="1"/>
  <c r="T566" i="3" l="1"/>
  <c r="AH566" i="3" s="1"/>
  <c r="U565" i="3"/>
  <c r="Y564" i="3"/>
  <c r="AG566" i="3" l="1"/>
  <c r="D566" i="3"/>
  <c r="G566" i="3" s="1"/>
  <c r="E566" i="3"/>
  <c r="H566" i="3" s="1"/>
  <c r="K566" i="3" s="1"/>
  <c r="AE566" i="3" s="1"/>
  <c r="F566" i="3" l="1"/>
  <c r="I566" i="3"/>
  <c r="J566" i="3"/>
  <c r="M566" i="3"/>
  <c r="N566" i="3" s="1"/>
  <c r="V566" i="3"/>
  <c r="A567" i="3"/>
  <c r="B567" i="3" s="1"/>
  <c r="W566" i="3" l="1"/>
  <c r="P567" i="3"/>
  <c r="Q567" i="3" s="1"/>
  <c r="R567" i="3" s="1"/>
  <c r="S567" i="3" s="1"/>
  <c r="AD567" i="3"/>
  <c r="AA567" i="3"/>
  <c r="AC567" i="3"/>
  <c r="Z567" i="3"/>
  <c r="L566" i="3"/>
  <c r="T567" i="3" l="1"/>
  <c r="AG567" i="3" s="1"/>
  <c r="U566" i="3"/>
  <c r="Y565" i="3"/>
  <c r="E567" i="3" l="1"/>
  <c r="H567" i="3" s="1"/>
  <c r="K567" i="3" s="1"/>
  <c r="AE567" i="3" s="1"/>
  <c r="D567" i="3"/>
  <c r="AH567" i="3"/>
  <c r="F567" i="3" l="1"/>
  <c r="G567" i="3"/>
  <c r="I567" i="3" s="1"/>
  <c r="V567" i="3"/>
  <c r="A568" i="3"/>
  <c r="B568" i="3" s="1"/>
  <c r="M567" i="3" l="1"/>
  <c r="N567" i="3" s="1"/>
  <c r="J567" i="3"/>
  <c r="L567" i="3" s="1"/>
  <c r="W567" i="3"/>
  <c r="AA568" i="3"/>
  <c r="Z568" i="3"/>
  <c r="AC568" i="3"/>
  <c r="AD568" i="3"/>
  <c r="P568" i="3"/>
  <c r="Q568" i="3" s="1"/>
  <c r="R568" i="3" s="1"/>
  <c r="S568" i="3" s="1"/>
  <c r="T568" i="3" l="1"/>
  <c r="AG568" i="3" s="1"/>
  <c r="U567" i="3"/>
  <c r="Y566" i="3"/>
  <c r="AH568" i="3" l="1"/>
  <c r="E568" i="3"/>
  <c r="H568" i="3" s="1"/>
  <c r="K568" i="3" s="1"/>
  <c r="AE568" i="3" s="1"/>
  <c r="D568" i="3"/>
  <c r="F568" i="3" l="1"/>
  <c r="G568" i="3"/>
  <c r="I568" i="3" s="1"/>
  <c r="V568" i="3"/>
  <c r="A569" i="3"/>
  <c r="B569" i="3" s="1"/>
  <c r="M568" i="3" l="1"/>
  <c r="N568" i="3" s="1"/>
  <c r="J568" i="3"/>
  <c r="L568" i="3" s="1"/>
  <c r="P569" i="3"/>
  <c r="Q569" i="3" s="1"/>
  <c r="R569" i="3" s="1"/>
  <c r="S569" i="3" s="1"/>
  <c r="AD569" i="3"/>
  <c r="AC569" i="3"/>
  <c r="AA569" i="3"/>
  <c r="Z569" i="3"/>
  <c r="W568" i="3"/>
  <c r="U568" i="3" l="1"/>
  <c r="Y567" i="3"/>
  <c r="T569" i="3"/>
  <c r="AG569" i="3" s="1"/>
  <c r="E569" i="3" l="1"/>
  <c r="H569" i="3" s="1"/>
  <c r="AH569" i="3"/>
  <c r="D569" i="3"/>
  <c r="F569" i="3" l="1"/>
  <c r="G569" i="3"/>
  <c r="K569" i="3"/>
  <c r="AE569" i="3" s="1"/>
  <c r="V569" i="3" l="1"/>
  <c r="A570" i="3"/>
  <c r="B570" i="3" s="1"/>
  <c r="I569" i="3"/>
  <c r="J569" i="3"/>
  <c r="M569" i="3"/>
  <c r="N569" i="3" s="1"/>
  <c r="L569" i="3" l="1"/>
  <c r="Z570" i="3"/>
  <c r="AA570" i="3"/>
  <c r="AC570" i="3"/>
  <c r="AD570" i="3"/>
  <c r="P570" i="3"/>
  <c r="Q570" i="3" s="1"/>
  <c r="R570" i="3" s="1"/>
  <c r="S570" i="3" s="1"/>
  <c r="W569" i="3"/>
  <c r="T570" i="3" l="1"/>
  <c r="AG570" i="3" s="1"/>
  <c r="U569" i="3"/>
  <c r="Y568" i="3"/>
  <c r="E570" i="3" l="1"/>
  <c r="H570" i="3" s="1"/>
  <c r="K570" i="3" s="1"/>
  <c r="AE570" i="3" s="1"/>
  <c r="AH570" i="3"/>
  <c r="D570" i="3"/>
  <c r="F570" i="3" l="1"/>
  <c r="G570" i="3"/>
  <c r="I570" i="3" s="1"/>
  <c r="V570" i="3"/>
  <c r="A571" i="3"/>
  <c r="B571" i="3" s="1"/>
  <c r="M570" i="3" l="1"/>
  <c r="N570" i="3" s="1"/>
  <c r="J570" i="3"/>
  <c r="L570" i="3" s="1"/>
  <c r="AD571" i="3"/>
  <c r="AA571" i="3"/>
  <c r="AC571" i="3"/>
  <c r="Z571" i="3"/>
  <c r="P571" i="3"/>
  <c r="Q571" i="3" s="1"/>
  <c r="R571" i="3" s="1"/>
  <c r="S571" i="3" s="1"/>
  <c r="W570" i="3"/>
  <c r="T571" i="3" l="1"/>
  <c r="AH571" i="3" s="1"/>
  <c r="U570" i="3"/>
  <c r="Y569" i="3"/>
  <c r="E571" i="3" l="1"/>
  <c r="H571" i="3" s="1"/>
  <c r="K571" i="3" s="1"/>
  <c r="AE571" i="3" s="1"/>
  <c r="AG571" i="3"/>
  <c r="D571" i="3"/>
  <c r="F571" i="3" l="1"/>
  <c r="G571" i="3"/>
  <c r="I571" i="3" s="1"/>
  <c r="V571" i="3"/>
  <c r="A572" i="3"/>
  <c r="B572" i="3" s="1"/>
  <c r="J571" i="3" l="1"/>
  <c r="L571" i="3" s="1"/>
  <c r="M571" i="3"/>
  <c r="N571" i="3" s="1"/>
  <c r="AA572" i="3"/>
  <c r="AC572" i="3"/>
  <c r="P572" i="3"/>
  <c r="Q572" i="3" s="1"/>
  <c r="R572" i="3" s="1"/>
  <c r="S572" i="3" s="1"/>
  <c r="Z572" i="3"/>
  <c r="AD572" i="3"/>
  <c r="W571" i="3"/>
  <c r="T572" i="3" l="1"/>
  <c r="AH572" i="3" s="1"/>
  <c r="U571" i="3"/>
  <c r="Y570" i="3"/>
  <c r="AG572" i="3" l="1"/>
  <c r="E572" i="3"/>
  <c r="H572" i="3" s="1"/>
  <c r="K572" i="3" s="1"/>
  <c r="AE572" i="3" s="1"/>
  <c r="D572" i="3"/>
  <c r="F572" i="3" l="1"/>
  <c r="G572" i="3"/>
  <c r="I572" i="3" s="1"/>
  <c r="V572" i="3"/>
  <c r="A573" i="3"/>
  <c r="B573" i="3" s="1"/>
  <c r="M572" i="3" l="1"/>
  <c r="N572" i="3" s="1"/>
  <c r="J572" i="3"/>
  <c r="L572" i="3" s="1"/>
  <c r="P573" i="3"/>
  <c r="Q573" i="3" s="1"/>
  <c r="R573" i="3" s="1"/>
  <c r="S573" i="3" s="1"/>
  <c r="AC573" i="3"/>
  <c r="AA573" i="3"/>
  <c r="AD573" i="3"/>
  <c r="Z573" i="3"/>
  <c r="W572" i="3"/>
  <c r="T573" i="3" l="1"/>
  <c r="AH573" i="3" s="1"/>
  <c r="U572" i="3"/>
  <c r="Y571" i="3"/>
  <c r="AG573" i="3" l="1"/>
  <c r="D573" i="3"/>
  <c r="E573" i="3"/>
  <c r="H573" i="3" s="1"/>
  <c r="K573" i="3" l="1"/>
  <c r="AE573" i="3" s="1"/>
  <c r="F573" i="3"/>
  <c r="G573" i="3"/>
  <c r="I573" i="3" l="1"/>
  <c r="J573" i="3"/>
  <c r="M573" i="3"/>
  <c r="N573" i="3" s="1"/>
  <c r="V573" i="3"/>
  <c r="A574" i="3"/>
  <c r="B574" i="3" s="1"/>
  <c r="W573" i="3" l="1"/>
  <c r="P574" i="3"/>
  <c r="Q574" i="3" s="1"/>
  <c r="R574" i="3" s="1"/>
  <c r="S574" i="3" s="1"/>
  <c r="Z574" i="3"/>
  <c r="AC574" i="3"/>
  <c r="AA574" i="3"/>
  <c r="L573" i="3"/>
  <c r="U573" i="3" l="1"/>
  <c r="Y572" i="3"/>
  <c r="T574" i="3"/>
  <c r="D574" i="3" l="1"/>
  <c r="G574" i="3" s="1"/>
  <c r="AG574" i="3"/>
  <c r="E574" i="3"/>
  <c r="H574" i="3" s="1"/>
  <c r="AH574" i="3"/>
  <c r="K574" i="3" l="1"/>
  <c r="AE574" i="3" s="1"/>
  <c r="I574" i="3"/>
  <c r="J574" i="3"/>
  <c r="AD574" i="3" s="1"/>
  <c r="M574" i="3"/>
  <c r="N574" i="3" s="1"/>
  <c r="F574" i="3"/>
  <c r="L574" i="3" l="1"/>
  <c r="V574" i="3"/>
  <c r="W574" i="3" s="1"/>
  <c r="A575" i="3"/>
  <c r="B575" i="3" s="1"/>
  <c r="AD575" i="3" l="1"/>
  <c r="P575" i="3"/>
  <c r="Q575" i="3" s="1"/>
  <c r="R575" i="3" s="1"/>
  <c r="S575" i="3" s="1"/>
  <c r="AA575" i="3"/>
  <c r="AC575" i="3"/>
  <c r="Z575" i="3"/>
  <c r="U574" i="3"/>
  <c r="Y573" i="3"/>
  <c r="T575" i="3" l="1"/>
  <c r="E575" i="3" s="1"/>
  <c r="H575" i="3" s="1"/>
  <c r="K575" i="3" l="1"/>
  <c r="AE575" i="3" s="1"/>
  <c r="D575" i="3"/>
  <c r="AH575" i="3"/>
  <c r="AG575" i="3"/>
  <c r="F575" i="3" l="1"/>
  <c r="G575" i="3"/>
  <c r="V575" i="3"/>
  <c r="A576" i="3"/>
  <c r="B576" i="3" s="1"/>
  <c r="AD576" i="3" l="1"/>
  <c r="Z576" i="3"/>
  <c r="AA576" i="3"/>
  <c r="AC576" i="3"/>
  <c r="P576" i="3"/>
  <c r="Q576" i="3" s="1"/>
  <c r="R576" i="3" s="1"/>
  <c r="S576" i="3" s="1"/>
  <c r="I575" i="3"/>
  <c r="W575" i="3" s="1"/>
  <c r="J575" i="3"/>
  <c r="M575" i="3"/>
  <c r="N575" i="3" s="1"/>
  <c r="T576" i="3" l="1"/>
  <c r="L575" i="3"/>
  <c r="AG576" i="3" l="1"/>
  <c r="AH576" i="3"/>
  <c r="U575" i="3"/>
  <c r="D576" i="3" s="1"/>
  <c r="Y574" i="3"/>
  <c r="E576" i="3" l="1"/>
  <c r="H576" i="3" s="1"/>
  <c r="K576" i="3" s="1"/>
  <c r="AE576" i="3" s="1"/>
  <c r="G576" i="3"/>
  <c r="F576" i="3" l="1"/>
  <c r="V576" i="3"/>
  <c r="A577" i="3"/>
  <c r="B577" i="3" s="1"/>
  <c r="I576" i="3"/>
  <c r="J576" i="3"/>
  <c r="M576" i="3"/>
  <c r="N576" i="3" s="1"/>
  <c r="L576" i="3" l="1"/>
  <c r="P577" i="3"/>
  <c r="Q577" i="3" s="1"/>
  <c r="R577" i="3" s="1"/>
  <c r="S577" i="3" s="1"/>
  <c r="AA577" i="3"/>
  <c r="AC577" i="3"/>
  <c r="AD577" i="3"/>
  <c r="Z577" i="3"/>
  <c r="W576" i="3"/>
  <c r="T577" i="3" l="1"/>
  <c r="AG577" i="3" s="1"/>
  <c r="U576" i="3"/>
  <c r="Y575" i="3"/>
  <c r="E577" i="3" l="1"/>
  <c r="H577" i="3" s="1"/>
  <c r="K577" i="3" s="1"/>
  <c r="AE577" i="3" s="1"/>
  <c r="AH577" i="3"/>
  <c r="D577" i="3"/>
  <c r="F577" i="3" l="1"/>
  <c r="G577" i="3"/>
  <c r="I577" i="3" s="1"/>
  <c r="V577" i="3"/>
  <c r="A578" i="3"/>
  <c r="B578" i="3" s="1"/>
  <c r="M577" i="3" l="1"/>
  <c r="N577" i="3" s="1"/>
  <c r="J577" i="3"/>
  <c r="L577" i="3" s="1"/>
  <c r="Z578" i="3"/>
  <c r="AA578" i="3"/>
  <c r="AC578" i="3"/>
  <c r="AD578" i="3"/>
  <c r="P578" i="3"/>
  <c r="Q578" i="3" s="1"/>
  <c r="R578" i="3" s="1"/>
  <c r="S578" i="3" s="1"/>
  <c r="W577" i="3"/>
  <c r="T578" i="3" l="1"/>
  <c r="AG578" i="3" s="1"/>
  <c r="U577" i="3"/>
  <c r="Y576" i="3"/>
  <c r="D578" i="3" l="1"/>
  <c r="G578" i="3" s="1"/>
  <c r="E578" i="3"/>
  <c r="H578" i="3" s="1"/>
  <c r="K578" i="3" s="1"/>
  <c r="AE578" i="3" s="1"/>
  <c r="AH578" i="3"/>
  <c r="F578" i="3" l="1"/>
  <c r="I578" i="3"/>
  <c r="J578" i="3"/>
  <c r="M578" i="3"/>
  <c r="N578" i="3" s="1"/>
  <c r="V578" i="3"/>
  <c r="A579" i="3"/>
  <c r="B579" i="3" s="1"/>
  <c r="W578" i="3" l="1"/>
  <c r="AD579" i="3"/>
  <c r="AA579" i="3"/>
  <c r="Z579" i="3"/>
  <c r="AC579" i="3"/>
  <c r="P579" i="3"/>
  <c r="Q579" i="3" s="1"/>
  <c r="R579" i="3" s="1"/>
  <c r="S579" i="3" s="1"/>
  <c r="L578" i="3"/>
  <c r="T579" i="3" l="1"/>
  <c r="AG579" i="3" s="1"/>
  <c r="U578" i="3"/>
  <c r="Y577" i="3"/>
  <c r="E579" i="3" l="1"/>
  <c r="H579" i="3" s="1"/>
  <c r="K579" i="3" s="1"/>
  <c r="AE579" i="3" s="1"/>
  <c r="D579" i="3"/>
  <c r="AH579" i="3"/>
  <c r="F579" i="3" l="1"/>
  <c r="G579" i="3"/>
  <c r="I579" i="3" s="1"/>
  <c r="V579" i="3"/>
  <c r="A580" i="3"/>
  <c r="B580" i="3" s="1"/>
  <c r="M579" i="3" l="1"/>
  <c r="N579" i="3" s="1"/>
  <c r="J579" i="3"/>
  <c r="L579" i="3" s="1"/>
  <c r="W579" i="3"/>
  <c r="P580" i="3"/>
  <c r="Q580" i="3" s="1"/>
  <c r="R580" i="3" s="1"/>
  <c r="S580" i="3" s="1"/>
  <c r="AD580" i="3"/>
  <c r="AA580" i="3"/>
  <c r="Z580" i="3"/>
  <c r="AC580" i="3"/>
  <c r="U579" i="3" l="1"/>
  <c r="Y578" i="3"/>
  <c r="T580" i="3"/>
  <c r="AG580" i="3" s="1"/>
  <c r="D580" i="3" l="1"/>
  <c r="AH580" i="3"/>
  <c r="E580" i="3"/>
  <c r="H580" i="3" s="1"/>
  <c r="K580" i="3" l="1"/>
  <c r="AE580" i="3" s="1"/>
  <c r="F580" i="3"/>
  <c r="G580" i="3"/>
  <c r="I580" i="3" l="1"/>
  <c r="J580" i="3"/>
  <c r="M580" i="3"/>
  <c r="N580" i="3" s="1"/>
  <c r="V580" i="3"/>
  <c r="A581" i="3"/>
  <c r="B581" i="3" s="1"/>
  <c r="W580" i="3" l="1"/>
  <c r="AA581" i="3"/>
  <c r="P581" i="3"/>
  <c r="Q581" i="3" s="1"/>
  <c r="R581" i="3" s="1"/>
  <c r="S581" i="3" s="1"/>
  <c r="AD581" i="3"/>
  <c r="AC581" i="3"/>
  <c r="Z581" i="3"/>
  <c r="L580" i="3"/>
  <c r="T581" i="3" l="1"/>
  <c r="AH581" i="3" s="1"/>
  <c r="U580" i="3"/>
  <c r="Y579" i="3"/>
  <c r="E581" i="3" l="1"/>
  <c r="H581" i="3" s="1"/>
  <c r="K581" i="3" s="1"/>
  <c r="AE581" i="3" s="1"/>
  <c r="AG581" i="3"/>
  <c r="D581" i="3"/>
  <c r="F581" i="3" l="1"/>
  <c r="G581" i="3"/>
  <c r="V581" i="3"/>
  <c r="A582" i="3"/>
  <c r="B582" i="3" s="1"/>
  <c r="AA582" i="3" l="1"/>
  <c r="Z582" i="3"/>
  <c r="P582" i="3"/>
  <c r="Q582" i="3" s="1"/>
  <c r="R582" i="3" s="1"/>
  <c r="S582" i="3" s="1"/>
  <c r="AC582" i="3"/>
  <c r="AD582" i="3"/>
  <c r="I581" i="3"/>
  <c r="W581" i="3" s="1"/>
  <c r="J581" i="3"/>
  <c r="M581" i="3"/>
  <c r="N581" i="3" s="1"/>
  <c r="L581" i="3" l="1"/>
  <c r="T582" i="3"/>
  <c r="U581" i="3" l="1"/>
  <c r="D582" i="3" s="1"/>
  <c r="AG582" i="3"/>
  <c r="AH582" i="3"/>
  <c r="Y580" i="3"/>
  <c r="E582" i="3" l="1"/>
  <c r="H582" i="3" s="1"/>
  <c r="K582" i="3" s="1"/>
  <c r="AE582" i="3" s="1"/>
  <c r="G582" i="3"/>
  <c r="F582" i="3" l="1"/>
  <c r="I582" i="3"/>
  <c r="J582" i="3"/>
  <c r="M582" i="3"/>
  <c r="N582" i="3" s="1"/>
  <c r="V582" i="3"/>
  <c r="A583" i="3"/>
  <c r="B583" i="3" s="1"/>
  <c r="W582" i="3" l="1"/>
  <c r="P583" i="3"/>
  <c r="Q583" i="3" s="1"/>
  <c r="R583" i="3" s="1"/>
  <c r="S583" i="3" s="1"/>
  <c r="AD583" i="3"/>
  <c r="AA583" i="3"/>
  <c r="Z583" i="3"/>
  <c r="AC583" i="3"/>
  <c r="L582" i="3"/>
  <c r="T583" i="3" l="1"/>
  <c r="AH583" i="3" s="1"/>
  <c r="U582" i="3"/>
  <c r="Y581" i="3"/>
  <c r="AG583" i="3" l="1"/>
  <c r="E583" i="3"/>
  <c r="H583" i="3" s="1"/>
  <c r="K583" i="3" s="1"/>
  <c r="AE583" i="3" s="1"/>
  <c r="D583" i="3"/>
  <c r="F583" i="3" l="1"/>
  <c r="G583" i="3"/>
  <c r="I583" i="3" s="1"/>
  <c r="V583" i="3"/>
  <c r="A584" i="3"/>
  <c r="B584" i="3" s="1"/>
  <c r="J583" i="3" l="1"/>
  <c r="L583" i="3" s="1"/>
  <c r="M583" i="3"/>
  <c r="N583" i="3" s="1"/>
  <c r="AA584" i="3"/>
  <c r="Z584" i="3"/>
  <c r="AC584" i="3"/>
  <c r="P584" i="3"/>
  <c r="Q584" i="3" s="1"/>
  <c r="R584" i="3" s="1"/>
  <c r="S584" i="3" s="1"/>
  <c r="W583" i="3"/>
  <c r="T584" i="3" l="1"/>
  <c r="AH584" i="3" s="1"/>
  <c r="U583" i="3"/>
  <c r="Y582" i="3"/>
  <c r="AG584" i="3" l="1"/>
  <c r="E584" i="3"/>
  <c r="H584" i="3" s="1"/>
  <c r="K584" i="3" s="1"/>
  <c r="AE584" i="3" s="1"/>
  <c r="D584" i="3"/>
  <c r="F584" i="3" l="1"/>
  <c r="G584" i="3"/>
  <c r="I584" i="3" s="1"/>
  <c r="V584" i="3"/>
  <c r="A585" i="3"/>
  <c r="B585" i="3" s="1"/>
  <c r="J584" i="3" l="1"/>
  <c r="AD584" i="3" s="1"/>
  <c r="W584" i="3"/>
  <c r="M584" i="3"/>
  <c r="N584" i="3" s="1"/>
  <c r="P585" i="3"/>
  <c r="Q585" i="3" s="1"/>
  <c r="R585" i="3" s="1"/>
  <c r="S585" i="3" s="1"/>
  <c r="AA585" i="3"/>
  <c r="AD585" i="3"/>
  <c r="AC585" i="3"/>
  <c r="Z585" i="3"/>
  <c r="L584" i="3" l="1"/>
  <c r="U584" i="3" s="1"/>
  <c r="T585" i="3"/>
  <c r="Y583" i="3" l="1"/>
  <c r="D585" i="3"/>
  <c r="G585" i="3" s="1"/>
  <c r="E585" i="3"/>
  <c r="H585" i="3" s="1"/>
  <c r="AG585" i="3"/>
  <c r="AH585" i="3"/>
  <c r="K585" i="3" l="1"/>
  <c r="AE585" i="3" s="1"/>
  <c r="I585" i="3"/>
  <c r="J585" i="3"/>
  <c r="M585" i="3"/>
  <c r="N585" i="3" s="1"/>
  <c r="F585" i="3"/>
  <c r="L585" i="3" l="1"/>
  <c r="V585" i="3"/>
  <c r="W585" i="3" s="1"/>
  <c r="A586" i="3"/>
  <c r="B586" i="3" s="1"/>
  <c r="P586" i="3" l="1"/>
  <c r="Q586" i="3" s="1"/>
  <c r="R586" i="3" s="1"/>
  <c r="S586" i="3" s="1"/>
  <c r="AA586" i="3"/>
  <c r="AC586" i="3"/>
  <c r="Z586" i="3"/>
  <c r="AD586" i="3"/>
  <c r="U585" i="3"/>
  <c r="Y584" i="3"/>
  <c r="T586" i="3" l="1"/>
  <c r="E586" i="3" l="1"/>
  <c r="H586" i="3" s="1"/>
  <c r="D586" i="3"/>
  <c r="AH586" i="3"/>
  <c r="AG586" i="3"/>
  <c r="F586" i="3" l="1"/>
  <c r="G586" i="3"/>
  <c r="K586" i="3"/>
  <c r="AE586" i="3" s="1"/>
  <c r="V586" i="3" l="1"/>
  <c r="A587" i="3"/>
  <c r="B587" i="3" s="1"/>
  <c r="I586" i="3"/>
  <c r="J586" i="3"/>
  <c r="M586" i="3"/>
  <c r="N586" i="3" s="1"/>
  <c r="L586" i="3" l="1"/>
  <c r="Z587" i="3"/>
  <c r="P587" i="3"/>
  <c r="Q587" i="3" s="1"/>
  <c r="R587" i="3" s="1"/>
  <c r="S587" i="3" s="1"/>
  <c r="AD587" i="3"/>
  <c r="AA587" i="3"/>
  <c r="AC587" i="3"/>
  <c r="W586" i="3"/>
  <c r="T587" i="3" l="1"/>
  <c r="AG587" i="3" s="1"/>
  <c r="U586" i="3"/>
  <c r="Y585" i="3"/>
  <c r="AH587" i="3" l="1"/>
  <c r="E587" i="3"/>
  <c r="H587" i="3" s="1"/>
  <c r="K587" i="3" s="1"/>
  <c r="AE587" i="3" s="1"/>
  <c r="D587" i="3"/>
  <c r="F587" i="3" l="1"/>
  <c r="G587" i="3"/>
  <c r="I587" i="3" s="1"/>
  <c r="V587" i="3"/>
  <c r="A588" i="3"/>
  <c r="B588" i="3" s="1"/>
  <c r="M587" i="3" l="1"/>
  <c r="N587" i="3" s="1"/>
  <c r="W587" i="3"/>
  <c r="J587" i="3"/>
  <c r="L587" i="3" s="1"/>
  <c r="AC588" i="3"/>
  <c r="AA588" i="3"/>
  <c r="P588" i="3"/>
  <c r="Q588" i="3" s="1"/>
  <c r="R588" i="3" s="1"/>
  <c r="S588" i="3" s="1"/>
  <c r="Z588" i="3"/>
  <c r="AD588" i="3"/>
  <c r="T588" i="3" l="1"/>
  <c r="AH588" i="3" s="1"/>
  <c r="U587" i="3"/>
  <c r="Y586" i="3"/>
  <c r="AG588" i="3" l="1"/>
  <c r="E588" i="3"/>
  <c r="H588" i="3" s="1"/>
  <c r="K588" i="3" s="1"/>
  <c r="AE588" i="3" s="1"/>
  <c r="D588" i="3"/>
  <c r="F588" i="3" l="1"/>
  <c r="G588" i="3"/>
  <c r="I588" i="3" s="1"/>
  <c r="V588" i="3"/>
  <c r="A589" i="3"/>
  <c r="B589" i="3" s="1"/>
  <c r="M588" i="3" l="1"/>
  <c r="N588" i="3" s="1"/>
  <c r="J588" i="3"/>
  <c r="L588" i="3" s="1"/>
  <c r="W588" i="3"/>
  <c r="P589" i="3"/>
  <c r="Q589" i="3" s="1"/>
  <c r="R589" i="3" s="1"/>
  <c r="S589" i="3" s="1"/>
  <c r="AC589" i="3"/>
  <c r="AD589" i="3"/>
  <c r="AA589" i="3"/>
  <c r="Z589" i="3"/>
  <c r="T589" i="3" l="1"/>
  <c r="AH589" i="3" s="1"/>
  <c r="U588" i="3"/>
  <c r="Y587" i="3"/>
  <c r="AG589" i="3" l="1"/>
  <c r="D589" i="3"/>
  <c r="G589" i="3" s="1"/>
  <c r="E589" i="3"/>
  <c r="H589" i="3" s="1"/>
  <c r="K589" i="3" s="1"/>
  <c r="AE589" i="3" s="1"/>
  <c r="F589" i="3" l="1"/>
  <c r="V589" i="3"/>
  <c r="A590" i="3"/>
  <c r="B590" i="3" s="1"/>
  <c r="I589" i="3"/>
  <c r="J589" i="3"/>
  <c r="M589" i="3"/>
  <c r="N589" i="3" s="1"/>
  <c r="L589" i="3" l="1"/>
  <c r="Z590" i="3"/>
  <c r="AD590" i="3"/>
  <c r="P590" i="3"/>
  <c r="Q590" i="3" s="1"/>
  <c r="R590" i="3" s="1"/>
  <c r="S590" i="3" s="1"/>
  <c r="AA590" i="3"/>
  <c r="AC590" i="3"/>
  <c r="W589" i="3"/>
  <c r="T590" i="3" l="1"/>
  <c r="AH590" i="3" s="1"/>
  <c r="U589" i="3"/>
  <c r="Y588" i="3"/>
  <c r="AG590" i="3" l="1"/>
  <c r="E590" i="3"/>
  <c r="H590" i="3" s="1"/>
  <c r="K590" i="3" s="1"/>
  <c r="AE590" i="3" s="1"/>
  <c r="D590" i="3"/>
  <c r="F590" i="3" l="1"/>
  <c r="G590" i="3"/>
  <c r="I590" i="3" s="1"/>
  <c r="V590" i="3"/>
  <c r="A591" i="3"/>
  <c r="B591" i="3" s="1"/>
  <c r="M590" i="3" l="1"/>
  <c r="N590" i="3" s="1"/>
  <c r="J590" i="3"/>
  <c r="L590" i="3" s="1"/>
  <c r="Z591" i="3"/>
  <c r="AA591" i="3"/>
  <c r="AD591" i="3"/>
  <c r="AC591" i="3"/>
  <c r="P591" i="3"/>
  <c r="Q591" i="3" s="1"/>
  <c r="R591" i="3" s="1"/>
  <c r="S591" i="3" s="1"/>
  <c r="W590" i="3"/>
  <c r="T591" i="3" l="1"/>
  <c r="AH591" i="3" s="1"/>
  <c r="U590" i="3"/>
  <c r="Y589" i="3"/>
  <c r="E591" i="3" l="1"/>
  <c r="H591" i="3" s="1"/>
  <c r="K591" i="3" s="1"/>
  <c r="AE591" i="3" s="1"/>
  <c r="AG591" i="3"/>
  <c r="D591" i="3"/>
  <c r="F591" i="3" l="1"/>
  <c r="G591" i="3"/>
  <c r="I591" i="3" s="1"/>
  <c r="V591" i="3"/>
  <c r="A592" i="3"/>
  <c r="B592" i="3" s="1"/>
  <c r="W591" i="3" l="1"/>
  <c r="M591" i="3"/>
  <c r="N591" i="3" s="1"/>
  <c r="J591" i="3"/>
  <c r="L591" i="3" s="1"/>
  <c r="AC592" i="3"/>
  <c r="AA592" i="3"/>
  <c r="Z592" i="3"/>
  <c r="AD592" i="3"/>
  <c r="P592" i="3"/>
  <c r="Q592" i="3" s="1"/>
  <c r="R592" i="3" s="1"/>
  <c r="S592" i="3" s="1"/>
  <c r="T592" i="3" l="1"/>
  <c r="AH592" i="3" s="1"/>
  <c r="U591" i="3"/>
  <c r="Y590" i="3"/>
  <c r="D592" i="3" l="1"/>
  <c r="AG592" i="3"/>
  <c r="E592" i="3"/>
  <c r="H592" i="3" s="1"/>
  <c r="K592" i="3" s="1"/>
  <c r="AE592" i="3" s="1"/>
  <c r="F592" i="3" l="1"/>
  <c r="G592" i="3"/>
  <c r="I592" i="3" s="1"/>
  <c r="V592" i="3"/>
  <c r="A593" i="3"/>
  <c r="B593" i="3" s="1"/>
  <c r="M592" i="3" l="1"/>
  <c r="N592" i="3" s="1"/>
  <c r="J592" i="3"/>
  <c r="L592" i="3" s="1"/>
  <c r="Z593" i="3"/>
  <c r="P593" i="3"/>
  <c r="Q593" i="3" s="1"/>
  <c r="R593" i="3" s="1"/>
  <c r="S593" i="3" s="1"/>
  <c r="AA593" i="3"/>
  <c r="AD593" i="3"/>
  <c r="AC593" i="3"/>
  <c r="W592" i="3"/>
  <c r="T593" i="3" l="1"/>
  <c r="AH593" i="3" s="1"/>
  <c r="U592" i="3"/>
  <c r="Y591" i="3"/>
  <c r="AG593" i="3" l="1"/>
  <c r="D593" i="3"/>
  <c r="G593" i="3" s="1"/>
  <c r="E593" i="3"/>
  <c r="H593" i="3" s="1"/>
  <c r="F593" i="3" l="1"/>
  <c r="K593" i="3"/>
  <c r="AE593" i="3" s="1"/>
  <c r="I593" i="3"/>
  <c r="J593" i="3"/>
  <c r="M593" i="3"/>
  <c r="N593" i="3" s="1"/>
  <c r="V593" i="3" l="1"/>
  <c r="W593" i="3" s="1"/>
  <c r="A594" i="3"/>
  <c r="B594" i="3" s="1"/>
  <c r="L593" i="3"/>
  <c r="U593" i="3" l="1"/>
  <c r="Y592" i="3"/>
  <c r="AC594" i="3"/>
  <c r="Z594" i="3"/>
  <c r="AA594" i="3"/>
  <c r="P594" i="3"/>
  <c r="Q594" i="3" s="1"/>
  <c r="R594" i="3" s="1"/>
  <c r="S594" i="3" s="1"/>
  <c r="T594" i="3" l="1"/>
  <c r="AG594" i="3" s="1"/>
  <c r="D594" i="3" l="1"/>
  <c r="G594" i="3" s="1"/>
  <c r="AH594" i="3"/>
  <c r="E594" i="3"/>
  <c r="H594" i="3" s="1"/>
  <c r="K594" i="3" l="1"/>
  <c r="AE594" i="3" s="1"/>
  <c r="I594" i="3"/>
  <c r="J594" i="3"/>
  <c r="AD594" i="3" s="1"/>
  <c r="M594" i="3"/>
  <c r="N594" i="3" s="1"/>
  <c r="F594" i="3"/>
  <c r="V594" i="3" l="1"/>
  <c r="W594" i="3" s="1"/>
  <c r="A595" i="3"/>
  <c r="B595" i="3" s="1"/>
  <c r="L594" i="3"/>
  <c r="U594" i="3" l="1"/>
  <c r="Y593" i="3"/>
  <c r="Z595" i="3"/>
  <c r="AD595" i="3"/>
  <c r="AA595" i="3"/>
  <c r="P595" i="3"/>
  <c r="Q595" i="3" s="1"/>
  <c r="R595" i="3" s="1"/>
  <c r="S595" i="3" s="1"/>
  <c r="AC595" i="3"/>
  <c r="T595" i="3" l="1"/>
  <c r="E595" i="3" s="1"/>
  <c r="H595" i="3" s="1"/>
  <c r="AH595" i="3" l="1"/>
  <c r="D595" i="3"/>
  <c r="F595" i="3" s="1"/>
  <c r="AG595" i="3"/>
  <c r="K595" i="3"/>
  <c r="AE595" i="3" s="1"/>
  <c r="G595" i="3" l="1"/>
  <c r="I595" i="3" s="1"/>
  <c r="V595" i="3"/>
  <c r="A596" i="3"/>
  <c r="B596" i="3" s="1"/>
  <c r="M595" i="3" l="1"/>
  <c r="N595" i="3" s="1"/>
  <c r="J595" i="3"/>
  <c r="L595" i="3" s="1"/>
  <c r="W595" i="3"/>
  <c r="AA596" i="3"/>
  <c r="P596" i="3"/>
  <c r="Q596" i="3" s="1"/>
  <c r="R596" i="3" s="1"/>
  <c r="S596" i="3" s="1"/>
  <c r="Z596" i="3"/>
  <c r="AC596" i="3"/>
  <c r="AD596" i="3"/>
  <c r="T596" i="3" l="1"/>
  <c r="AG596" i="3" s="1"/>
  <c r="U595" i="3"/>
  <c r="Y594" i="3"/>
  <c r="AH596" i="3" l="1"/>
  <c r="E596" i="3"/>
  <c r="H596" i="3" s="1"/>
  <c r="K596" i="3" s="1"/>
  <c r="AE596" i="3" s="1"/>
  <c r="D596" i="3"/>
  <c r="G596" i="3" s="1"/>
  <c r="F596" i="3" l="1"/>
  <c r="I596" i="3"/>
  <c r="J596" i="3"/>
  <c r="M596" i="3"/>
  <c r="N596" i="3" s="1"/>
  <c r="V596" i="3"/>
  <c r="A597" i="3"/>
  <c r="B597" i="3" s="1"/>
  <c r="W596" i="3" l="1"/>
  <c r="AA597" i="3"/>
  <c r="AC597" i="3"/>
  <c r="AD597" i="3"/>
  <c r="P597" i="3"/>
  <c r="Q597" i="3" s="1"/>
  <c r="R597" i="3" s="1"/>
  <c r="S597" i="3" s="1"/>
  <c r="Z597" i="3"/>
  <c r="L596" i="3"/>
  <c r="U596" i="3" l="1"/>
  <c r="Y595" i="3"/>
  <c r="T597" i="3"/>
  <c r="D597" i="3" l="1"/>
  <c r="G597" i="3" s="1"/>
  <c r="AG597" i="3"/>
  <c r="E597" i="3"/>
  <c r="H597" i="3" s="1"/>
  <c r="AH597" i="3"/>
  <c r="K597" i="3" l="1"/>
  <c r="AE597" i="3" s="1"/>
  <c r="I597" i="3"/>
  <c r="J597" i="3"/>
  <c r="M597" i="3"/>
  <c r="N597" i="3" s="1"/>
  <c r="F597" i="3"/>
  <c r="L597" i="3" l="1"/>
  <c r="V597" i="3"/>
  <c r="W597" i="3" s="1"/>
  <c r="A598" i="3"/>
  <c r="B598" i="3" s="1"/>
  <c r="P598" i="3" l="1"/>
  <c r="Q598" i="3" s="1"/>
  <c r="R598" i="3" s="1"/>
  <c r="S598" i="3" s="1"/>
  <c r="AC598" i="3"/>
  <c r="Z598" i="3"/>
  <c r="AD598" i="3"/>
  <c r="AA598" i="3"/>
  <c r="U597" i="3"/>
  <c r="Y596" i="3"/>
  <c r="T598" i="3" l="1"/>
  <c r="AG598" i="3" l="1"/>
  <c r="D598" i="3"/>
  <c r="AH598" i="3"/>
  <c r="E598" i="3"/>
  <c r="H598" i="3" s="1"/>
  <c r="F598" i="3" l="1"/>
  <c r="G598" i="3"/>
  <c r="K598" i="3"/>
  <c r="AE598" i="3" s="1"/>
  <c r="V598" i="3" l="1"/>
  <c r="A599" i="3"/>
  <c r="B599" i="3" s="1"/>
  <c r="I598" i="3"/>
  <c r="J598" i="3"/>
  <c r="M598" i="3"/>
  <c r="N598" i="3" s="1"/>
  <c r="L598" i="3" l="1"/>
  <c r="AD599" i="3"/>
  <c r="Z599" i="3"/>
  <c r="AA599" i="3"/>
  <c r="P599" i="3"/>
  <c r="Q599" i="3" s="1"/>
  <c r="R599" i="3" s="1"/>
  <c r="S599" i="3" s="1"/>
  <c r="AC599" i="3"/>
  <c r="W598" i="3"/>
  <c r="T599" i="3" l="1"/>
  <c r="AH599" i="3" s="1"/>
  <c r="U598" i="3"/>
  <c r="Y597" i="3"/>
  <c r="AG599" i="3" l="1"/>
  <c r="E599" i="3"/>
  <c r="H599" i="3" s="1"/>
  <c r="K599" i="3" s="1"/>
  <c r="AE599" i="3" s="1"/>
  <c r="D599" i="3"/>
  <c r="F599" i="3" l="1"/>
  <c r="G599" i="3"/>
  <c r="I599" i="3" s="1"/>
  <c r="V599" i="3"/>
  <c r="A600" i="3"/>
  <c r="B600" i="3" s="1"/>
  <c r="M599" i="3" l="1"/>
  <c r="N599" i="3" s="1"/>
  <c r="J599" i="3"/>
  <c r="L599" i="3" s="1"/>
  <c r="AD600" i="3"/>
  <c r="AC600" i="3"/>
  <c r="AA600" i="3"/>
  <c r="Z600" i="3"/>
  <c r="P600" i="3"/>
  <c r="Q600" i="3" s="1"/>
  <c r="R600" i="3" s="1"/>
  <c r="S600" i="3" s="1"/>
  <c r="W599" i="3"/>
  <c r="T600" i="3" l="1"/>
  <c r="AG600" i="3" s="1"/>
  <c r="U599" i="3"/>
  <c r="Y598" i="3"/>
  <c r="E600" i="3" l="1"/>
  <c r="H600" i="3" s="1"/>
  <c r="K600" i="3" s="1"/>
  <c r="AE600" i="3" s="1"/>
  <c r="D600" i="3"/>
  <c r="AH600" i="3"/>
  <c r="F600" i="3" l="1"/>
  <c r="G600" i="3"/>
  <c r="I600" i="3" s="1"/>
  <c r="V600" i="3"/>
  <c r="A601" i="3"/>
  <c r="B601" i="3" s="1"/>
  <c r="M600" i="3" l="1"/>
  <c r="N600" i="3" s="1"/>
  <c r="J600" i="3"/>
  <c r="L600" i="3" s="1"/>
  <c r="W600" i="3"/>
  <c r="Z601" i="3"/>
  <c r="AD601" i="3"/>
  <c r="AA601" i="3"/>
  <c r="AC601" i="3"/>
  <c r="P601" i="3"/>
  <c r="Q601" i="3" s="1"/>
  <c r="R601" i="3" s="1"/>
  <c r="S601" i="3" s="1"/>
  <c r="T601" i="3" l="1"/>
  <c r="U600" i="3"/>
  <c r="Y599" i="3"/>
  <c r="E601" i="3" l="1"/>
  <c r="H601" i="3" s="1"/>
  <c r="K601" i="3" s="1"/>
  <c r="AE601" i="3" s="1"/>
  <c r="AH601" i="3"/>
  <c r="AG601" i="3"/>
  <c r="D601" i="3"/>
  <c r="F601" i="3" l="1"/>
  <c r="G601" i="3"/>
  <c r="I601" i="3" s="1"/>
  <c r="V601" i="3"/>
  <c r="A602" i="3"/>
  <c r="B602" i="3" s="1"/>
  <c r="M601" i="3" l="1"/>
  <c r="N601" i="3" s="1"/>
  <c r="J601" i="3"/>
  <c r="L601" i="3" s="1"/>
  <c r="W601" i="3"/>
  <c r="P602" i="3"/>
  <c r="Q602" i="3" s="1"/>
  <c r="R602" i="3" s="1"/>
  <c r="S602" i="3" s="1"/>
  <c r="AD602" i="3"/>
  <c r="AA602" i="3"/>
  <c r="Z602" i="3"/>
  <c r="AC602" i="3"/>
  <c r="U601" i="3" l="1"/>
  <c r="Y600" i="3"/>
  <c r="T602" i="3"/>
  <c r="E602" i="3" l="1"/>
  <c r="H602" i="3" s="1"/>
  <c r="K602" i="3" s="1"/>
  <c r="AE602" i="3" s="1"/>
  <c r="D602" i="3"/>
  <c r="G602" i="3" s="1"/>
  <c r="AH602" i="3"/>
  <c r="AG602" i="3"/>
  <c r="F602" i="3" l="1"/>
  <c r="V602" i="3"/>
  <c r="A603" i="3"/>
  <c r="B603" i="3" s="1"/>
  <c r="I602" i="3"/>
  <c r="J602" i="3"/>
  <c r="M602" i="3"/>
  <c r="N602" i="3" s="1"/>
  <c r="L602" i="3" l="1"/>
  <c r="AC603" i="3"/>
  <c r="AD603" i="3"/>
  <c r="Z603" i="3"/>
  <c r="AA603" i="3"/>
  <c r="P603" i="3"/>
  <c r="Q603" i="3" s="1"/>
  <c r="R603" i="3" s="1"/>
  <c r="S603" i="3" s="1"/>
  <c r="W602" i="3"/>
  <c r="T603" i="3" l="1"/>
  <c r="AG603" i="3" s="1"/>
  <c r="U602" i="3"/>
  <c r="Y601" i="3"/>
  <c r="AH603" i="3" l="1"/>
  <c r="D603" i="3"/>
  <c r="G603" i="3" s="1"/>
  <c r="E603" i="3"/>
  <c r="H603" i="3" s="1"/>
  <c r="K603" i="3" l="1"/>
  <c r="AE603" i="3" s="1"/>
  <c r="I603" i="3"/>
  <c r="J603" i="3"/>
  <c r="M603" i="3"/>
  <c r="N603" i="3" s="1"/>
  <c r="F603" i="3"/>
  <c r="L603" i="3" l="1"/>
  <c r="V603" i="3"/>
  <c r="W603" i="3" s="1"/>
  <c r="A604" i="3"/>
  <c r="B604" i="3" s="1"/>
  <c r="P604" i="3" l="1"/>
  <c r="Q604" i="3" s="1"/>
  <c r="R604" i="3" s="1"/>
  <c r="S604" i="3" s="1"/>
  <c r="AC604" i="3"/>
  <c r="Z604" i="3"/>
  <c r="AA604" i="3"/>
  <c r="U603" i="3"/>
  <c r="Y602" i="3"/>
  <c r="T604" i="3" l="1"/>
  <c r="AG604" i="3" l="1"/>
  <c r="AH604" i="3"/>
  <c r="E604" i="3"/>
  <c r="H604" i="3" s="1"/>
  <c r="D604" i="3"/>
  <c r="F604" i="3" l="1"/>
  <c r="G604" i="3"/>
  <c r="K604" i="3"/>
  <c r="AE604" i="3" s="1"/>
  <c r="V604" i="3" l="1"/>
  <c r="A605" i="3"/>
  <c r="B605" i="3" s="1"/>
  <c r="I604" i="3"/>
  <c r="J604" i="3"/>
  <c r="AD604" i="3" s="1"/>
  <c r="M604" i="3"/>
  <c r="N604" i="3" s="1"/>
  <c r="L604" i="3" l="1"/>
  <c r="AA605" i="3"/>
  <c r="AD605" i="3"/>
  <c r="AC605" i="3"/>
  <c r="Z605" i="3"/>
  <c r="P605" i="3"/>
  <c r="Q605" i="3" s="1"/>
  <c r="R605" i="3" s="1"/>
  <c r="S605" i="3" s="1"/>
  <c r="W604" i="3"/>
  <c r="T605" i="3" l="1"/>
  <c r="AG605" i="3" s="1"/>
  <c r="U604" i="3"/>
  <c r="Y603" i="3"/>
  <c r="E605" i="3" l="1"/>
  <c r="H605" i="3" s="1"/>
  <c r="K605" i="3" s="1"/>
  <c r="AE605" i="3" s="1"/>
  <c r="AH605" i="3"/>
  <c r="D605" i="3"/>
  <c r="F605" i="3" l="1"/>
  <c r="G605" i="3"/>
  <c r="V605" i="3"/>
  <c r="A606" i="3"/>
  <c r="B606" i="3" s="1"/>
  <c r="AD606" i="3" l="1"/>
  <c r="AC606" i="3"/>
  <c r="Z606" i="3"/>
  <c r="AA606" i="3"/>
  <c r="P606" i="3"/>
  <c r="Q606" i="3" s="1"/>
  <c r="R606" i="3" s="1"/>
  <c r="S606" i="3" s="1"/>
  <c r="I605" i="3"/>
  <c r="W605" i="3" s="1"/>
  <c r="J605" i="3"/>
  <c r="M605" i="3"/>
  <c r="N605" i="3" s="1"/>
  <c r="L605" i="3" l="1"/>
  <c r="T606" i="3"/>
  <c r="AH606" i="3" l="1"/>
  <c r="AG606" i="3"/>
  <c r="U605" i="3"/>
  <c r="D606" i="3" s="1"/>
  <c r="Y604" i="3"/>
  <c r="E606" i="3" l="1"/>
  <c r="H606" i="3" s="1"/>
  <c r="K606" i="3" s="1"/>
  <c r="AE606" i="3" s="1"/>
  <c r="G606" i="3"/>
  <c r="F606" i="3" l="1"/>
  <c r="V606" i="3"/>
  <c r="A607" i="3"/>
  <c r="B607" i="3" s="1"/>
  <c r="I606" i="3"/>
  <c r="J606" i="3"/>
  <c r="M606" i="3"/>
  <c r="N606" i="3" s="1"/>
  <c r="L606" i="3" l="1"/>
  <c r="AA607" i="3"/>
  <c r="P607" i="3"/>
  <c r="Q607" i="3" s="1"/>
  <c r="R607" i="3" s="1"/>
  <c r="S607" i="3" s="1"/>
  <c r="AC607" i="3"/>
  <c r="AD607" i="3"/>
  <c r="Z607" i="3"/>
  <c r="W606" i="3"/>
  <c r="T607" i="3" l="1"/>
  <c r="AH607" i="3" s="1"/>
  <c r="U606" i="3"/>
  <c r="Y605" i="3"/>
  <c r="E607" i="3" l="1"/>
  <c r="H607" i="3" s="1"/>
  <c r="K607" i="3" s="1"/>
  <c r="AE607" i="3" s="1"/>
  <c r="D607" i="3"/>
  <c r="AG607" i="3"/>
  <c r="F607" i="3" l="1"/>
  <c r="G607" i="3"/>
  <c r="I607" i="3" s="1"/>
  <c r="V607" i="3"/>
  <c r="A608" i="3"/>
  <c r="B608" i="3" s="1"/>
  <c r="M607" i="3" l="1"/>
  <c r="N607" i="3" s="1"/>
  <c r="J607" i="3"/>
  <c r="L607" i="3" s="1"/>
  <c r="AA608" i="3"/>
  <c r="P608" i="3"/>
  <c r="Q608" i="3" s="1"/>
  <c r="R608" i="3" s="1"/>
  <c r="S608" i="3" s="1"/>
  <c r="Z608" i="3"/>
  <c r="AC608" i="3"/>
  <c r="AD608" i="3"/>
  <c r="W607" i="3"/>
  <c r="U607" i="3" l="1"/>
  <c r="Y606" i="3"/>
  <c r="T608" i="3"/>
  <c r="AH608" i="3" s="1"/>
  <c r="E608" i="3" l="1"/>
  <c r="H608" i="3" s="1"/>
  <c r="D608" i="3"/>
  <c r="AG608" i="3"/>
  <c r="F608" i="3" l="1"/>
  <c r="G608" i="3"/>
  <c r="K608" i="3"/>
  <c r="AE608" i="3" s="1"/>
  <c r="V608" i="3" l="1"/>
  <c r="A609" i="3"/>
  <c r="B609" i="3" s="1"/>
  <c r="I608" i="3"/>
  <c r="J608" i="3"/>
  <c r="M608" i="3"/>
  <c r="N608" i="3" s="1"/>
  <c r="L608" i="3" l="1"/>
  <c r="AC609" i="3"/>
  <c r="P609" i="3"/>
  <c r="Q609" i="3" s="1"/>
  <c r="R609" i="3" s="1"/>
  <c r="S609" i="3" s="1"/>
  <c r="Z609" i="3"/>
  <c r="AD609" i="3"/>
  <c r="AA609" i="3"/>
  <c r="W608" i="3"/>
  <c r="U608" i="3" l="1"/>
  <c r="Y607" i="3"/>
  <c r="T609" i="3"/>
  <c r="D609" i="3" l="1"/>
  <c r="G609" i="3" s="1"/>
  <c r="E609" i="3"/>
  <c r="H609" i="3" s="1"/>
  <c r="AH609" i="3"/>
  <c r="AG609" i="3"/>
  <c r="K609" i="3" l="1"/>
  <c r="AE609" i="3" s="1"/>
  <c r="I609" i="3"/>
  <c r="J609" i="3"/>
  <c r="M609" i="3"/>
  <c r="N609" i="3" s="1"/>
  <c r="F609" i="3"/>
  <c r="V609" i="3" l="1"/>
  <c r="W609" i="3" s="1"/>
  <c r="A610" i="3"/>
  <c r="B610" i="3" s="1"/>
  <c r="L609" i="3"/>
  <c r="U609" i="3" l="1"/>
  <c r="Y608" i="3"/>
  <c r="AC610" i="3"/>
  <c r="AD610" i="3"/>
  <c r="AA610" i="3"/>
  <c r="Z610" i="3"/>
  <c r="P610" i="3"/>
  <c r="Q610" i="3" s="1"/>
  <c r="R610" i="3" s="1"/>
  <c r="S610" i="3" s="1"/>
  <c r="T610" i="3" l="1"/>
  <c r="AH610" i="3" s="1"/>
  <c r="AG610" i="3" l="1"/>
  <c r="D610" i="3"/>
  <c r="E610" i="3"/>
  <c r="H610" i="3" s="1"/>
  <c r="K610" i="3" s="1"/>
  <c r="AE610" i="3" s="1"/>
  <c r="F610" i="3" l="1"/>
  <c r="G610" i="3"/>
  <c r="I610" i="3" s="1"/>
  <c r="V610" i="3"/>
  <c r="A611" i="3"/>
  <c r="B611" i="3" s="1"/>
  <c r="M610" i="3" l="1"/>
  <c r="N610" i="3" s="1"/>
  <c r="J610" i="3"/>
  <c r="L610" i="3" s="1"/>
  <c r="P611" i="3"/>
  <c r="Q611" i="3" s="1"/>
  <c r="R611" i="3" s="1"/>
  <c r="S611" i="3" s="1"/>
  <c r="Z611" i="3"/>
  <c r="AA611" i="3"/>
  <c r="AC611" i="3"/>
  <c r="AD611" i="3"/>
  <c r="W610" i="3"/>
  <c r="T611" i="3" l="1"/>
  <c r="AH611" i="3" s="1"/>
  <c r="U610" i="3"/>
  <c r="Y609" i="3"/>
  <c r="AG611" i="3" l="1"/>
  <c r="D611" i="3"/>
  <c r="G611" i="3" s="1"/>
  <c r="E611" i="3"/>
  <c r="H611" i="3" s="1"/>
  <c r="K611" i="3" s="1"/>
  <c r="AE611" i="3" s="1"/>
  <c r="F611" i="3" l="1"/>
  <c r="V611" i="3"/>
  <c r="A612" i="3"/>
  <c r="B612" i="3" s="1"/>
  <c r="I611" i="3"/>
  <c r="J611" i="3"/>
  <c r="M611" i="3"/>
  <c r="N611" i="3" s="1"/>
  <c r="AD612" i="3" l="1"/>
  <c r="AC612" i="3"/>
  <c r="P612" i="3"/>
  <c r="Q612" i="3" s="1"/>
  <c r="R612" i="3" s="1"/>
  <c r="S612" i="3" s="1"/>
  <c r="AA612" i="3"/>
  <c r="Z612" i="3"/>
  <c r="L611" i="3"/>
  <c r="W611" i="3"/>
  <c r="T612" i="3" l="1"/>
  <c r="AG612" i="3" s="1"/>
  <c r="U611" i="3"/>
  <c r="Y610" i="3"/>
  <c r="D612" i="3" l="1"/>
  <c r="G612" i="3" s="1"/>
  <c r="AH612" i="3"/>
  <c r="E612" i="3"/>
  <c r="H612" i="3" s="1"/>
  <c r="K612" i="3" s="1"/>
  <c r="AE612" i="3" s="1"/>
  <c r="F612" i="3" l="1"/>
  <c r="V612" i="3"/>
  <c r="A613" i="3"/>
  <c r="B613" i="3" s="1"/>
  <c r="I612" i="3"/>
  <c r="J612" i="3"/>
  <c r="M612" i="3"/>
  <c r="N612" i="3" s="1"/>
  <c r="AA613" i="3" l="1"/>
  <c r="Z613" i="3"/>
  <c r="AC613" i="3"/>
  <c r="AD613" i="3"/>
  <c r="P613" i="3"/>
  <c r="Q613" i="3" s="1"/>
  <c r="R613" i="3" s="1"/>
  <c r="S613" i="3" s="1"/>
  <c r="L612" i="3"/>
  <c r="W612" i="3"/>
  <c r="T613" i="3" l="1"/>
  <c r="AH613" i="3" s="1"/>
  <c r="U612" i="3"/>
  <c r="Y611" i="3"/>
  <c r="E613" i="3" l="1"/>
  <c r="H613" i="3" s="1"/>
  <c r="K613" i="3" s="1"/>
  <c r="AE613" i="3" s="1"/>
  <c r="AG613" i="3"/>
  <c r="D613" i="3"/>
  <c r="F613" i="3" l="1"/>
  <c r="G613" i="3"/>
  <c r="I613" i="3" s="1"/>
  <c r="V613" i="3"/>
  <c r="A614" i="3"/>
  <c r="B614" i="3" s="1"/>
  <c r="M613" i="3" l="1"/>
  <c r="N613" i="3" s="1"/>
  <c r="J613" i="3"/>
  <c r="L613" i="3" s="1"/>
  <c r="W613" i="3"/>
  <c r="Z614" i="3"/>
  <c r="P614" i="3"/>
  <c r="Q614" i="3" s="1"/>
  <c r="R614" i="3" s="1"/>
  <c r="S614" i="3" s="1"/>
  <c r="AC614" i="3"/>
  <c r="AA614" i="3"/>
  <c r="T614" i="3" l="1"/>
  <c r="AG614" i="3" s="1"/>
  <c r="U613" i="3"/>
  <c r="Y612" i="3"/>
  <c r="AH614" i="3" l="1"/>
  <c r="D614" i="3"/>
  <c r="G614" i="3" s="1"/>
  <c r="E614" i="3"/>
  <c r="H614" i="3" s="1"/>
  <c r="K614" i="3" l="1"/>
  <c r="AE614" i="3" s="1"/>
  <c r="I614" i="3"/>
  <c r="J614" i="3"/>
  <c r="AD614" i="3" s="1"/>
  <c r="M614" i="3"/>
  <c r="N614" i="3" s="1"/>
  <c r="F614" i="3"/>
  <c r="L614" i="3" l="1"/>
  <c r="V614" i="3"/>
  <c r="W614" i="3" s="1"/>
  <c r="A615" i="3"/>
  <c r="B615" i="3" s="1"/>
  <c r="AD615" i="3" l="1"/>
  <c r="AA615" i="3"/>
  <c r="P615" i="3"/>
  <c r="Q615" i="3" s="1"/>
  <c r="R615" i="3" s="1"/>
  <c r="S615" i="3" s="1"/>
  <c r="AC615" i="3"/>
  <c r="Z615" i="3"/>
  <c r="U614" i="3"/>
  <c r="Y613" i="3"/>
  <c r="T615" i="3" l="1"/>
  <c r="E615" i="3" s="1"/>
  <c r="H615" i="3" s="1"/>
  <c r="AG615" i="3" l="1"/>
  <c r="D615" i="3"/>
  <c r="F615" i="3" s="1"/>
  <c r="AH615" i="3"/>
  <c r="K615" i="3"/>
  <c r="AE615" i="3" s="1"/>
  <c r="G615" i="3" l="1"/>
  <c r="I615" i="3" s="1"/>
  <c r="V615" i="3"/>
  <c r="A616" i="3"/>
  <c r="B616" i="3" s="1"/>
  <c r="M615" i="3" l="1"/>
  <c r="N615" i="3" s="1"/>
  <c r="J615" i="3"/>
  <c r="L615" i="3" s="1"/>
  <c r="W615" i="3"/>
  <c r="AC616" i="3"/>
  <c r="AA616" i="3"/>
  <c r="AD616" i="3"/>
  <c r="Z616" i="3"/>
  <c r="P616" i="3"/>
  <c r="Q616" i="3" s="1"/>
  <c r="R616" i="3" s="1"/>
  <c r="S616" i="3" s="1"/>
  <c r="T616" i="3" l="1"/>
  <c r="AH616" i="3" s="1"/>
  <c r="U615" i="3"/>
  <c r="Y614" i="3"/>
  <c r="AG616" i="3" l="1"/>
  <c r="E616" i="3"/>
  <c r="H616" i="3" s="1"/>
  <c r="K616" i="3" s="1"/>
  <c r="AE616" i="3" s="1"/>
  <c r="D616" i="3"/>
  <c r="F616" i="3" l="1"/>
  <c r="G616" i="3"/>
  <c r="I616" i="3" s="1"/>
  <c r="V616" i="3"/>
  <c r="A617" i="3"/>
  <c r="B617" i="3" s="1"/>
  <c r="M616" i="3" l="1"/>
  <c r="N616" i="3" s="1"/>
  <c r="J616" i="3"/>
  <c r="L616" i="3" s="1"/>
  <c r="W616" i="3"/>
  <c r="AA617" i="3"/>
  <c r="AD617" i="3"/>
  <c r="P617" i="3"/>
  <c r="Q617" i="3" s="1"/>
  <c r="R617" i="3" s="1"/>
  <c r="S617" i="3" s="1"/>
  <c r="Z617" i="3"/>
  <c r="AC617" i="3"/>
  <c r="U616" i="3" l="1"/>
  <c r="Y615" i="3"/>
  <c r="T617" i="3"/>
  <c r="E617" i="3" l="1"/>
  <c r="H617" i="3" s="1"/>
  <c r="K617" i="3" s="1"/>
  <c r="AE617" i="3" s="1"/>
  <c r="AH617" i="3"/>
  <c r="D617" i="3"/>
  <c r="AG617" i="3"/>
  <c r="F617" i="3" l="1"/>
  <c r="G617" i="3"/>
  <c r="I617" i="3" s="1"/>
  <c r="V617" i="3"/>
  <c r="A618" i="3"/>
  <c r="B618" i="3" s="1"/>
  <c r="M617" i="3" l="1"/>
  <c r="N617" i="3" s="1"/>
  <c r="J617" i="3"/>
  <c r="L617" i="3" s="1"/>
  <c r="W617" i="3"/>
  <c r="AD618" i="3"/>
  <c r="P618" i="3"/>
  <c r="Q618" i="3" s="1"/>
  <c r="R618" i="3" s="1"/>
  <c r="S618" i="3" s="1"/>
  <c r="AA618" i="3"/>
  <c r="AC618" i="3"/>
  <c r="Z618" i="3"/>
  <c r="T618" i="3" l="1"/>
  <c r="AH618" i="3" s="1"/>
  <c r="U617" i="3"/>
  <c r="Y616" i="3"/>
  <c r="AG618" i="3" l="1"/>
  <c r="E618" i="3"/>
  <c r="H618" i="3" s="1"/>
  <c r="K618" i="3" s="1"/>
  <c r="AE618" i="3" s="1"/>
  <c r="D618" i="3"/>
  <c r="F618" i="3" l="1"/>
  <c r="G618" i="3"/>
  <c r="I618" i="3" s="1"/>
  <c r="V618" i="3"/>
  <c r="A619" i="3"/>
  <c r="B619" i="3" s="1"/>
  <c r="M618" i="3" l="1"/>
  <c r="N618" i="3" s="1"/>
  <c r="J618" i="3"/>
  <c r="L618" i="3" s="1"/>
  <c r="W618" i="3"/>
  <c r="Z619" i="3"/>
  <c r="P619" i="3"/>
  <c r="Q619" i="3" s="1"/>
  <c r="R619" i="3" s="1"/>
  <c r="S619" i="3" s="1"/>
  <c r="AA619" i="3"/>
  <c r="AD619" i="3"/>
  <c r="AC619" i="3"/>
  <c r="T619" i="3" l="1"/>
  <c r="AG619" i="3" s="1"/>
  <c r="U618" i="3"/>
  <c r="Y617" i="3"/>
  <c r="D619" i="3" l="1"/>
  <c r="G619" i="3" s="1"/>
  <c r="E619" i="3"/>
  <c r="H619" i="3" s="1"/>
  <c r="K619" i="3" s="1"/>
  <c r="AE619" i="3" s="1"/>
  <c r="AH619" i="3"/>
  <c r="F619" i="3" l="1"/>
  <c r="V619" i="3"/>
  <c r="A620" i="3"/>
  <c r="B620" i="3" s="1"/>
  <c r="I619" i="3"/>
  <c r="J619" i="3"/>
  <c r="M619" i="3"/>
  <c r="N619" i="3" s="1"/>
  <c r="AA620" i="3" l="1"/>
  <c r="Z620" i="3"/>
  <c r="AC620" i="3"/>
  <c r="P620" i="3"/>
  <c r="Q620" i="3" s="1"/>
  <c r="R620" i="3" s="1"/>
  <c r="S620" i="3" s="1"/>
  <c r="AD620" i="3"/>
  <c r="L619" i="3"/>
  <c r="W619" i="3"/>
  <c r="T620" i="3" l="1"/>
  <c r="AG620" i="3" s="1"/>
  <c r="U619" i="3"/>
  <c r="Y618" i="3"/>
  <c r="E620" i="3" l="1"/>
  <c r="H620" i="3" s="1"/>
  <c r="K620" i="3" s="1"/>
  <c r="AE620" i="3" s="1"/>
  <c r="AH620" i="3"/>
  <c r="D620" i="3"/>
  <c r="F620" i="3" l="1"/>
  <c r="G620" i="3"/>
  <c r="I620" i="3" s="1"/>
  <c r="V620" i="3"/>
  <c r="A621" i="3"/>
  <c r="B621" i="3" s="1"/>
  <c r="M620" i="3" l="1"/>
  <c r="N620" i="3" s="1"/>
  <c r="J620" i="3"/>
  <c r="L620" i="3" s="1"/>
  <c r="W620" i="3"/>
  <c r="AC621" i="3"/>
  <c r="AA621" i="3"/>
  <c r="P621" i="3"/>
  <c r="Q621" i="3" s="1"/>
  <c r="R621" i="3" s="1"/>
  <c r="S621" i="3" s="1"/>
  <c r="Z621" i="3"/>
  <c r="AD621" i="3"/>
  <c r="T621" i="3" l="1"/>
  <c r="U620" i="3"/>
  <c r="Y619" i="3"/>
  <c r="E621" i="3" l="1"/>
  <c r="H621" i="3" s="1"/>
  <c r="K621" i="3" s="1"/>
  <c r="AE621" i="3" s="1"/>
  <c r="D621" i="3"/>
  <c r="G621" i="3" s="1"/>
  <c r="AH621" i="3"/>
  <c r="AG621" i="3"/>
  <c r="F621" i="3" l="1"/>
  <c r="I621" i="3"/>
  <c r="J621" i="3"/>
  <c r="M621" i="3"/>
  <c r="N621" i="3" s="1"/>
  <c r="V621" i="3"/>
  <c r="A622" i="3"/>
  <c r="B622" i="3" s="1"/>
  <c r="W621" i="3" l="1"/>
  <c r="P622" i="3"/>
  <c r="Q622" i="3" s="1"/>
  <c r="R622" i="3" s="1"/>
  <c r="S622" i="3" s="1"/>
  <c r="AC622" i="3"/>
  <c r="Z622" i="3"/>
  <c r="AD622" i="3"/>
  <c r="AA622" i="3"/>
  <c r="L621" i="3"/>
  <c r="U621" i="3" l="1"/>
  <c r="Y620" i="3"/>
  <c r="T622" i="3"/>
  <c r="E622" i="3" l="1"/>
  <c r="H622" i="3" s="1"/>
  <c r="K622" i="3" s="1"/>
  <c r="AE622" i="3" s="1"/>
  <c r="AH622" i="3"/>
  <c r="AG622" i="3"/>
  <c r="D622" i="3"/>
  <c r="F622" i="3" l="1"/>
  <c r="G622" i="3"/>
  <c r="M622" i="3" s="1"/>
  <c r="N622" i="3" s="1"/>
  <c r="V622" i="3"/>
  <c r="A623" i="3"/>
  <c r="B623" i="3" s="1"/>
  <c r="J622" i="3" l="1"/>
  <c r="L622" i="3" s="1"/>
  <c r="I622" i="3"/>
  <c r="W622" i="3" s="1"/>
  <c r="Z623" i="3"/>
  <c r="AD623" i="3"/>
  <c r="P623" i="3"/>
  <c r="Q623" i="3" s="1"/>
  <c r="R623" i="3" s="1"/>
  <c r="S623" i="3" s="1"/>
  <c r="AC623" i="3"/>
  <c r="AA623" i="3"/>
  <c r="T623" i="3" l="1"/>
  <c r="AH623" i="3" s="1"/>
  <c r="U622" i="3"/>
  <c r="Y621" i="3"/>
  <c r="D623" i="3" l="1"/>
  <c r="G623" i="3" s="1"/>
  <c r="AG623" i="3"/>
  <c r="E623" i="3"/>
  <c r="H623" i="3" s="1"/>
  <c r="K623" i="3" l="1"/>
  <c r="AE623" i="3" s="1"/>
  <c r="I623" i="3"/>
  <c r="J623" i="3"/>
  <c r="M623" i="3"/>
  <c r="N623" i="3" s="1"/>
  <c r="F623" i="3"/>
  <c r="L623" i="3" l="1"/>
  <c r="V623" i="3"/>
  <c r="W623" i="3" s="1"/>
  <c r="A624" i="3"/>
  <c r="B624" i="3" s="1"/>
  <c r="Z624" i="3" l="1"/>
  <c r="P624" i="3"/>
  <c r="Q624" i="3" s="1"/>
  <c r="R624" i="3" s="1"/>
  <c r="S624" i="3" s="1"/>
  <c r="AC624" i="3"/>
  <c r="AA624" i="3"/>
  <c r="U623" i="3"/>
  <c r="Y622" i="3"/>
  <c r="T624" i="3" l="1"/>
  <c r="E624" i="3" s="1"/>
  <c r="H624" i="3" s="1"/>
  <c r="AH624" i="3" l="1"/>
  <c r="AG624" i="3"/>
  <c r="D624" i="3"/>
  <c r="F624" i="3" s="1"/>
  <c r="K624" i="3"/>
  <c r="AE624" i="3" s="1"/>
  <c r="G624" i="3" l="1"/>
  <c r="I624" i="3" s="1"/>
  <c r="V624" i="3"/>
  <c r="A625" i="3"/>
  <c r="B625" i="3" s="1"/>
  <c r="M624" i="3" l="1"/>
  <c r="N624" i="3" s="1"/>
  <c r="J624" i="3"/>
  <c r="AD624" i="3" s="1"/>
  <c r="AC625" i="3"/>
  <c r="Z625" i="3"/>
  <c r="P625" i="3"/>
  <c r="Q625" i="3" s="1"/>
  <c r="R625" i="3" s="1"/>
  <c r="S625" i="3" s="1"/>
  <c r="AA625" i="3"/>
  <c r="AD625" i="3"/>
  <c r="W624" i="3"/>
  <c r="L624" i="3" l="1"/>
  <c r="Y623" i="3" s="1"/>
  <c r="T625" i="3"/>
  <c r="U624" i="3" l="1"/>
  <c r="D625" i="3" s="1"/>
  <c r="AH625" i="3"/>
  <c r="AG625" i="3"/>
  <c r="E625" i="3" l="1"/>
  <c r="H625" i="3" s="1"/>
  <c r="K625" i="3" s="1"/>
  <c r="AE625" i="3" s="1"/>
  <c r="G625" i="3"/>
  <c r="A626" i="3" l="1"/>
  <c r="B626" i="3" s="1"/>
  <c r="AC626" i="3" s="1"/>
  <c r="V625" i="3"/>
  <c r="I625" i="3"/>
  <c r="F625" i="3"/>
  <c r="M625" i="3"/>
  <c r="N625" i="3" s="1"/>
  <c r="J625" i="3"/>
  <c r="L625" i="3" s="1"/>
  <c r="Z626" i="3" l="1"/>
  <c r="AD626" i="3"/>
  <c r="W625" i="3"/>
  <c r="AA626" i="3"/>
  <c r="P626" i="3"/>
  <c r="Q626" i="3" s="1"/>
  <c r="R626" i="3" s="1"/>
  <c r="S626" i="3" s="1"/>
  <c r="T626" i="3" s="1"/>
  <c r="U625" i="3"/>
  <c r="Y624" i="3"/>
  <c r="AH626" i="3" l="1"/>
  <c r="AG626" i="3"/>
  <c r="D626" i="3"/>
  <c r="G626" i="3" s="1"/>
  <c r="E626" i="3"/>
  <c r="H626" i="3" s="1"/>
  <c r="I626" i="3" l="1"/>
  <c r="J626" i="3"/>
  <c r="M626" i="3"/>
  <c r="N626" i="3" s="1"/>
  <c r="K626" i="3"/>
  <c r="AE626" i="3" s="1"/>
  <c r="F626" i="3"/>
  <c r="V626" i="3" l="1"/>
  <c r="W626" i="3" s="1"/>
  <c r="A627" i="3"/>
  <c r="B627" i="3" s="1"/>
  <c r="L626" i="3"/>
  <c r="AD627" i="3" l="1"/>
  <c r="P627" i="3"/>
  <c r="Q627" i="3" s="1"/>
  <c r="R627" i="3" s="1"/>
  <c r="S627" i="3" s="1"/>
  <c r="AC627" i="3"/>
  <c r="AA627" i="3"/>
  <c r="Z627" i="3"/>
  <c r="U626" i="3"/>
  <c r="Y625" i="3"/>
  <c r="T627" i="3" l="1"/>
  <c r="D627" i="3" s="1"/>
  <c r="AG627" i="3" l="1"/>
  <c r="AH627" i="3"/>
  <c r="E627" i="3"/>
  <c r="H627" i="3" s="1"/>
  <c r="K627" i="3" s="1"/>
  <c r="AE627" i="3" s="1"/>
  <c r="G627" i="3"/>
  <c r="F627" i="3" l="1"/>
  <c r="I627" i="3"/>
  <c r="J627" i="3"/>
  <c r="M627" i="3"/>
  <c r="N627" i="3" s="1"/>
  <c r="V627" i="3"/>
  <c r="A628" i="3"/>
  <c r="B628" i="3" s="1"/>
  <c r="W627" i="3" l="1"/>
  <c r="AC628" i="3"/>
  <c r="AD628" i="3"/>
  <c r="Z628" i="3"/>
  <c r="AA628" i="3"/>
  <c r="P628" i="3"/>
  <c r="Q628" i="3" s="1"/>
  <c r="R628" i="3" s="1"/>
  <c r="S628" i="3" s="1"/>
  <c r="L627" i="3"/>
  <c r="T628" i="3" l="1"/>
  <c r="AH628" i="3" s="1"/>
  <c r="U627" i="3"/>
  <c r="Y626" i="3"/>
  <c r="AG628" i="3" l="1"/>
  <c r="D628" i="3"/>
  <c r="G628" i="3" s="1"/>
  <c r="E628" i="3"/>
  <c r="H628" i="3" s="1"/>
  <c r="K628" i="3" l="1"/>
  <c r="AE628" i="3" s="1"/>
  <c r="I628" i="3"/>
  <c r="J628" i="3"/>
  <c r="M628" i="3"/>
  <c r="N628" i="3" s="1"/>
  <c r="F628" i="3"/>
  <c r="L628" i="3" l="1"/>
  <c r="V628" i="3"/>
  <c r="W628" i="3" s="1"/>
  <c r="A629" i="3"/>
  <c r="B629" i="3" s="1"/>
  <c r="Z629" i="3" l="1"/>
  <c r="AC629" i="3"/>
  <c r="AA629" i="3"/>
  <c r="P629" i="3"/>
  <c r="Q629" i="3" s="1"/>
  <c r="R629" i="3" s="1"/>
  <c r="S629" i="3" s="1"/>
  <c r="AD629" i="3"/>
  <c r="U628" i="3"/>
  <c r="Y627" i="3"/>
  <c r="T629" i="3" l="1"/>
  <c r="D629" i="3" s="1"/>
  <c r="AG629" i="3" l="1"/>
  <c r="AH629" i="3"/>
  <c r="E629" i="3"/>
  <c r="H629" i="3" s="1"/>
  <c r="K629" i="3" s="1"/>
  <c r="AE629" i="3" s="1"/>
  <c r="G629" i="3"/>
  <c r="F629" i="3" l="1"/>
  <c r="V629" i="3"/>
  <c r="A630" i="3"/>
  <c r="B630" i="3" s="1"/>
  <c r="I629" i="3"/>
  <c r="J629" i="3"/>
  <c r="M629" i="3"/>
  <c r="N629" i="3" s="1"/>
  <c r="L629" i="3" l="1"/>
  <c r="AA630" i="3"/>
  <c r="Z630" i="3"/>
  <c r="AD630" i="3"/>
  <c r="P630" i="3"/>
  <c r="Q630" i="3" s="1"/>
  <c r="R630" i="3" s="1"/>
  <c r="S630" i="3" s="1"/>
  <c r="AC630" i="3"/>
  <c r="W629" i="3"/>
  <c r="T630" i="3" l="1"/>
  <c r="AH630" i="3" s="1"/>
  <c r="U629" i="3"/>
  <c r="Y628" i="3"/>
  <c r="D630" i="3" l="1"/>
  <c r="G630" i="3" s="1"/>
  <c r="E630" i="3"/>
  <c r="H630" i="3" s="1"/>
  <c r="K630" i="3" s="1"/>
  <c r="AE630" i="3" s="1"/>
  <c r="AG630" i="3"/>
  <c r="F630" i="3" l="1"/>
  <c r="V630" i="3"/>
  <c r="A631" i="3"/>
  <c r="B631" i="3" s="1"/>
  <c r="I630" i="3"/>
  <c r="J630" i="3"/>
  <c r="M630" i="3"/>
  <c r="N630" i="3" s="1"/>
  <c r="L630" i="3" l="1"/>
  <c r="AC631" i="3"/>
  <c r="AA631" i="3"/>
  <c r="Z631" i="3"/>
  <c r="AD631" i="3"/>
  <c r="P631" i="3"/>
  <c r="Q631" i="3" s="1"/>
  <c r="R631" i="3" s="1"/>
  <c r="S631" i="3" s="1"/>
  <c r="W630" i="3"/>
  <c r="T631" i="3" l="1"/>
  <c r="AG631" i="3" s="1"/>
  <c r="U630" i="3"/>
  <c r="Y629" i="3"/>
  <c r="E631" i="3" l="1"/>
  <c r="H631" i="3" s="1"/>
  <c r="K631" i="3" s="1"/>
  <c r="AE631" i="3" s="1"/>
  <c r="AH631" i="3"/>
  <c r="D631" i="3"/>
  <c r="G631" i="3" s="1"/>
  <c r="F631" i="3" l="1"/>
  <c r="I631" i="3"/>
  <c r="J631" i="3"/>
  <c r="M631" i="3"/>
  <c r="N631" i="3" s="1"/>
  <c r="V631" i="3"/>
  <c r="A632" i="3"/>
  <c r="B632" i="3" s="1"/>
  <c r="W631" i="3" l="1"/>
  <c r="AC632" i="3"/>
  <c r="AA632" i="3"/>
  <c r="Z632" i="3"/>
  <c r="P632" i="3"/>
  <c r="Q632" i="3" s="1"/>
  <c r="R632" i="3" s="1"/>
  <c r="S632" i="3" s="1"/>
  <c r="AD632" i="3"/>
  <c r="L631" i="3"/>
  <c r="U631" i="3" l="1"/>
  <c r="Y630" i="3"/>
  <c r="T632" i="3"/>
  <c r="D632" i="3" l="1"/>
  <c r="G632" i="3" s="1"/>
  <c r="E632" i="3"/>
  <c r="H632" i="3" s="1"/>
  <c r="K632" i="3" s="1"/>
  <c r="AE632" i="3" s="1"/>
  <c r="AG632" i="3"/>
  <c r="AH632" i="3"/>
  <c r="F632" i="3" l="1"/>
  <c r="I632" i="3"/>
  <c r="J632" i="3"/>
  <c r="M632" i="3"/>
  <c r="N632" i="3" s="1"/>
  <c r="V632" i="3"/>
  <c r="A633" i="3"/>
  <c r="B633" i="3" s="1"/>
  <c r="W632" i="3" l="1"/>
  <c r="AA633" i="3"/>
  <c r="AD633" i="3"/>
  <c r="P633" i="3"/>
  <c r="Q633" i="3" s="1"/>
  <c r="R633" i="3" s="1"/>
  <c r="S633" i="3" s="1"/>
  <c r="AC633" i="3"/>
  <c r="Z633" i="3"/>
  <c r="L632" i="3"/>
  <c r="T633" i="3" l="1"/>
  <c r="AG633" i="3" s="1"/>
  <c r="U632" i="3"/>
  <c r="Y631" i="3"/>
  <c r="E633" i="3" l="1"/>
  <c r="H633" i="3" s="1"/>
  <c r="K633" i="3" s="1"/>
  <c r="AE633" i="3" s="1"/>
  <c r="AH633" i="3"/>
  <c r="D633" i="3"/>
  <c r="F633" i="3" l="1"/>
  <c r="G633" i="3"/>
  <c r="I633" i="3" s="1"/>
  <c r="V633" i="3"/>
  <c r="A634" i="3"/>
  <c r="B634" i="3" s="1"/>
  <c r="J633" i="3" l="1"/>
  <c r="L633" i="3" s="1"/>
  <c r="M633" i="3"/>
  <c r="N633" i="3" s="1"/>
  <c r="W633" i="3"/>
  <c r="AA634" i="3"/>
  <c r="AC634" i="3"/>
  <c r="Z634" i="3"/>
  <c r="P634" i="3"/>
  <c r="Q634" i="3" s="1"/>
  <c r="R634" i="3" s="1"/>
  <c r="S634" i="3" s="1"/>
  <c r="T634" i="3" l="1"/>
  <c r="AG634" i="3" s="1"/>
  <c r="U633" i="3"/>
  <c r="Y632" i="3"/>
  <c r="D634" i="3" l="1"/>
  <c r="G634" i="3" s="1"/>
  <c r="E634" i="3"/>
  <c r="H634" i="3" s="1"/>
  <c r="K634" i="3" s="1"/>
  <c r="AE634" i="3" s="1"/>
  <c r="AH634" i="3"/>
  <c r="F634" i="3" l="1"/>
  <c r="I634" i="3"/>
  <c r="J634" i="3"/>
  <c r="AD634" i="3" s="1"/>
  <c r="M634" i="3"/>
  <c r="N634" i="3" s="1"/>
  <c r="V634" i="3"/>
  <c r="A635" i="3"/>
  <c r="B635" i="3" s="1"/>
  <c r="W634" i="3" l="1"/>
  <c r="AD635" i="3"/>
  <c r="P635" i="3"/>
  <c r="Q635" i="3" s="1"/>
  <c r="R635" i="3" s="1"/>
  <c r="S635" i="3" s="1"/>
  <c r="AA635" i="3"/>
  <c r="Z635" i="3"/>
  <c r="AC635" i="3"/>
  <c r="L634" i="3"/>
  <c r="T635" i="3" l="1"/>
  <c r="AH635" i="3" s="1"/>
  <c r="U634" i="3"/>
  <c r="Y633" i="3"/>
  <c r="E635" i="3" l="1"/>
  <c r="H635" i="3" s="1"/>
  <c r="K635" i="3" s="1"/>
  <c r="AE635" i="3" s="1"/>
  <c r="D635" i="3"/>
  <c r="AG635" i="3"/>
  <c r="F635" i="3" l="1"/>
  <c r="G635" i="3"/>
  <c r="J635" i="3" s="1"/>
  <c r="V635" i="3"/>
  <c r="A636" i="3"/>
  <c r="B636" i="3" s="1"/>
  <c r="M635" i="3" l="1"/>
  <c r="N635" i="3" s="1"/>
  <c r="I635" i="3"/>
  <c r="W635" i="3" s="1"/>
  <c r="Z636" i="3"/>
  <c r="P636" i="3"/>
  <c r="Q636" i="3" s="1"/>
  <c r="R636" i="3" s="1"/>
  <c r="S636" i="3" s="1"/>
  <c r="AC636" i="3"/>
  <c r="AD636" i="3"/>
  <c r="AA636" i="3"/>
  <c r="L635" i="3"/>
  <c r="T636" i="3" l="1"/>
  <c r="AH636" i="3" s="1"/>
  <c r="U635" i="3"/>
  <c r="Y634" i="3"/>
  <c r="AG636" i="3" l="1"/>
  <c r="D636" i="3"/>
  <c r="G636" i="3" s="1"/>
  <c r="E636" i="3"/>
  <c r="H636" i="3" s="1"/>
  <c r="K636" i="3" s="1"/>
  <c r="AE636" i="3" s="1"/>
  <c r="F636" i="3" l="1"/>
  <c r="V636" i="3"/>
  <c r="A637" i="3"/>
  <c r="B637" i="3" s="1"/>
  <c r="I636" i="3"/>
  <c r="J636" i="3"/>
  <c r="M636" i="3"/>
  <c r="N636" i="3" s="1"/>
  <c r="L636" i="3" l="1"/>
  <c r="AC637" i="3"/>
  <c r="AD637" i="3"/>
  <c r="AA637" i="3"/>
  <c r="Z637" i="3"/>
  <c r="P637" i="3"/>
  <c r="Q637" i="3" s="1"/>
  <c r="R637" i="3" s="1"/>
  <c r="S637" i="3" s="1"/>
  <c r="W636" i="3"/>
  <c r="T637" i="3" l="1"/>
  <c r="AG637" i="3" s="1"/>
  <c r="U636" i="3"/>
  <c r="Y635" i="3"/>
  <c r="AH637" i="3" l="1"/>
  <c r="E637" i="3"/>
  <c r="H637" i="3" s="1"/>
  <c r="K637" i="3" s="1"/>
  <c r="AE637" i="3" s="1"/>
  <c r="D637" i="3"/>
  <c r="G637" i="3" s="1"/>
  <c r="F637" i="3" l="1"/>
  <c r="V637" i="3"/>
  <c r="A638" i="3"/>
  <c r="B638" i="3" s="1"/>
  <c r="I637" i="3"/>
  <c r="J637" i="3"/>
  <c r="M637" i="3"/>
  <c r="N637" i="3" s="1"/>
  <c r="L637" i="3" l="1"/>
  <c r="Z638" i="3"/>
  <c r="P638" i="3"/>
  <c r="Q638" i="3" s="1"/>
  <c r="R638" i="3" s="1"/>
  <c r="S638" i="3" s="1"/>
  <c r="AC638" i="3"/>
  <c r="AA638" i="3"/>
  <c r="AD638" i="3"/>
  <c r="W637" i="3"/>
  <c r="T638" i="3" l="1"/>
  <c r="AG638" i="3" s="1"/>
  <c r="U637" i="3"/>
  <c r="Y636" i="3"/>
  <c r="E638" i="3" l="1"/>
  <c r="H638" i="3" s="1"/>
  <c r="K638" i="3" s="1"/>
  <c r="AE638" i="3" s="1"/>
  <c r="AH638" i="3"/>
  <c r="D638" i="3"/>
  <c r="F638" i="3" l="1"/>
  <c r="G638" i="3"/>
  <c r="I638" i="3" s="1"/>
  <c r="V638" i="3"/>
  <c r="A639" i="3"/>
  <c r="B639" i="3" s="1"/>
  <c r="M638" i="3" l="1"/>
  <c r="N638" i="3" s="1"/>
  <c r="J638" i="3"/>
  <c r="L638" i="3" s="1"/>
  <c r="AA639" i="3"/>
  <c r="AC639" i="3"/>
  <c r="P639" i="3"/>
  <c r="Q639" i="3" s="1"/>
  <c r="R639" i="3" s="1"/>
  <c r="S639" i="3" s="1"/>
  <c r="Z639" i="3"/>
  <c r="AD639" i="3"/>
  <c r="W638" i="3"/>
  <c r="T639" i="3" l="1"/>
  <c r="AH639" i="3" s="1"/>
  <c r="U638" i="3"/>
  <c r="Y637" i="3"/>
  <c r="E639" i="3" l="1"/>
  <c r="H639" i="3" s="1"/>
  <c r="K639" i="3" s="1"/>
  <c r="AE639" i="3" s="1"/>
  <c r="AG639" i="3"/>
  <c r="D639" i="3"/>
  <c r="V639" i="3" l="1"/>
  <c r="A640" i="3"/>
  <c r="B640" i="3" s="1"/>
  <c r="F639" i="3"/>
  <c r="G639" i="3"/>
  <c r="AC640" i="3" l="1"/>
  <c r="P640" i="3"/>
  <c r="Q640" i="3" s="1"/>
  <c r="R640" i="3" s="1"/>
  <c r="S640" i="3" s="1"/>
  <c r="AA640" i="3"/>
  <c r="AD640" i="3"/>
  <c r="Z640" i="3"/>
  <c r="I639" i="3"/>
  <c r="W639" i="3" s="1"/>
  <c r="J639" i="3"/>
  <c r="M639" i="3"/>
  <c r="N639" i="3" s="1"/>
  <c r="L639" i="3" l="1"/>
  <c r="T640" i="3"/>
  <c r="U639" i="3" l="1"/>
  <c r="D640" i="3" s="1"/>
  <c r="AH640" i="3"/>
  <c r="AG640" i="3"/>
  <c r="Y638" i="3"/>
  <c r="E640" i="3" l="1"/>
  <c r="H640" i="3" s="1"/>
  <c r="K640" i="3" s="1"/>
  <c r="AE640" i="3" s="1"/>
  <c r="G640" i="3"/>
  <c r="F640" i="3" l="1"/>
  <c r="I640" i="3"/>
  <c r="J640" i="3"/>
  <c r="M640" i="3"/>
  <c r="N640" i="3" s="1"/>
  <c r="V640" i="3"/>
  <c r="A641" i="3"/>
  <c r="B641" i="3" s="1"/>
  <c r="W640" i="3" l="1"/>
  <c r="P641" i="3"/>
  <c r="Q641" i="3" s="1"/>
  <c r="R641" i="3" s="1"/>
  <c r="S641" i="3" s="1"/>
  <c r="AA641" i="3"/>
  <c r="AD641" i="3"/>
  <c r="Z641" i="3"/>
  <c r="AC641" i="3"/>
  <c r="L640" i="3"/>
  <c r="U640" i="3" l="1"/>
  <c r="Y639" i="3"/>
  <c r="T641" i="3"/>
  <c r="E641" i="3" l="1"/>
  <c r="H641" i="3" s="1"/>
  <c r="K641" i="3" s="1"/>
  <c r="AE641" i="3" s="1"/>
  <c r="AG641" i="3"/>
  <c r="D641" i="3"/>
  <c r="AH641" i="3"/>
  <c r="F641" i="3" l="1"/>
  <c r="G641" i="3"/>
  <c r="V641" i="3"/>
  <c r="A642" i="3"/>
  <c r="B642" i="3" s="1"/>
  <c r="Z642" i="3" l="1"/>
  <c r="AD642" i="3"/>
  <c r="P642" i="3"/>
  <c r="Q642" i="3" s="1"/>
  <c r="R642" i="3" s="1"/>
  <c r="S642" i="3" s="1"/>
  <c r="AC642" i="3"/>
  <c r="AA642" i="3"/>
  <c r="I641" i="3"/>
  <c r="W641" i="3" s="1"/>
  <c r="J641" i="3"/>
  <c r="M641" i="3"/>
  <c r="N641" i="3" s="1"/>
  <c r="T642" i="3" l="1"/>
  <c r="L641" i="3"/>
  <c r="AG642" i="3" l="1"/>
  <c r="U641" i="3"/>
  <c r="E642" i="3" s="1"/>
  <c r="H642" i="3" s="1"/>
  <c r="AH642" i="3"/>
  <c r="Y640" i="3"/>
  <c r="D642" i="3" l="1"/>
  <c r="F642" i="3" s="1"/>
  <c r="K642" i="3"/>
  <c r="AE642" i="3" s="1"/>
  <c r="G642" i="3" l="1"/>
  <c r="I642" i="3" s="1"/>
  <c r="V642" i="3"/>
  <c r="A643" i="3"/>
  <c r="B643" i="3" s="1"/>
  <c r="M642" i="3" l="1"/>
  <c r="N642" i="3" s="1"/>
  <c r="J642" i="3"/>
  <c r="L642" i="3" s="1"/>
  <c r="W642" i="3"/>
  <c r="AA643" i="3"/>
  <c r="AD643" i="3"/>
  <c r="AC643" i="3"/>
  <c r="P643" i="3"/>
  <c r="Q643" i="3" s="1"/>
  <c r="R643" i="3" s="1"/>
  <c r="S643" i="3" s="1"/>
  <c r="Z643" i="3"/>
  <c r="T643" i="3" l="1"/>
  <c r="AG643" i="3" s="1"/>
  <c r="U642" i="3"/>
  <c r="Y641" i="3"/>
  <c r="AH643" i="3" l="1"/>
  <c r="E643" i="3"/>
  <c r="H643" i="3" s="1"/>
  <c r="K643" i="3" s="1"/>
  <c r="AE643" i="3" s="1"/>
  <c r="D643" i="3"/>
  <c r="F643" i="3" l="1"/>
  <c r="G643" i="3"/>
  <c r="I643" i="3" s="1"/>
  <c r="V643" i="3"/>
  <c r="A644" i="3"/>
  <c r="B644" i="3" s="1"/>
  <c r="M643" i="3" l="1"/>
  <c r="N643" i="3" s="1"/>
  <c r="J643" i="3"/>
  <c r="L643" i="3" s="1"/>
  <c r="AA644" i="3"/>
  <c r="P644" i="3"/>
  <c r="Q644" i="3" s="1"/>
  <c r="R644" i="3" s="1"/>
  <c r="S644" i="3" s="1"/>
  <c r="Z644" i="3"/>
  <c r="AC644" i="3"/>
  <c r="W643" i="3"/>
  <c r="U643" i="3" l="1"/>
  <c r="Y642" i="3"/>
  <c r="T644" i="3"/>
  <c r="E644" i="3" l="1"/>
  <c r="H644" i="3" s="1"/>
  <c r="K644" i="3" s="1"/>
  <c r="AE644" i="3" s="1"/>
  <c r="AH644" i="3"/>
  <c r="AG644" i="3"/>
  <c r="D644" i="3"/>
  <c r="F644" i="3" l="1"/>
  <c r="G644" i="3"/>
  <c r="V644" i="3"/>
  <c r="A645" i="3"/>
  <c r="B645" i="3" s="1"/>
  <c r="AA645" i="3" l="1"/>
  <c r="AC645" i="3"/>
  <c r="Z645" i="3"/>
  <c r="P645" i="3"/>
  <c r="Q645" i="3" s="1"/>
  <c r="R645" i="3" s="1"/>
  <c r="S645" i="3" s="1"/>
  <c r="AD645" i="3"/>
  <c r="I644" i="3"/>
  <c r="W644" i="3" s="1"/>
  <c r="J644" i="3"/>
  <c r="AD644" i="3" s="1"/>
  <c r="M644" i="3"/>
  <c r="N644" i="3" s="1"/>
  <c r="T645" i="3" l="1"/>
  <c r="L644" i="3"/>
  <c r="AH645" i="3" l="1"/>
  <c r="AG645" i="3"/>
  <c r="U644" i="3"/>
  <c r="D645" i="3" s="1"/>
  <c r="Y643" i="3"/>
  <c r="G645" i="3" l="1"/>
  <c r="E645" i="3"/>
  <c r="H645" i="3" s="1"/>
  <c r="K645" i="3" l="1"/>
  <c r="AE645" i="3" s="1"/>
  <c r="I645" i="3"/>
  <c r="J645" i="3"/>
  <c r="M645" i="3"/>
  <c r="N645" i="3" s="1"/>
  <c r="F645" i="3"/>
  <c r="L645" i="3" l="1"/>
  <c r="V645" i="3"/>
  <c r="W645" i="3" s="1"/>
  <c r="A646" i="3"/>
  <c r="B646" i="3" s="1"/>
  <c r="Z646" i="3" l="1"/>
  <c r="P646" i="3"/>
  <c r="Q646" i="3" s="1"/>
  <c r="R646" i="3" s="1"/>
  <c r="S646" i="3" s="1"/>
  <c r="AD646" i="3"/>
  <c r="AC646" i="3"/>
  <c r="AA646" i="3"/>
  <c r="U645" i="3"/>
  <c r="Y644" i="3"/>
  <c r="T646" i="3" l="1"/>
  <c r="AG646" i="3" l="1"/>
  <c r="AH646" i="3"/>
  <c r="E646" i="3"/>
  <c r="H646" i="3" s="1"/>
  <c r="D646" i="3"/>
  <c r="K646" i="3" l="1"/>
  <c r="AE646" i="3" s="1"/>
  <c r="F646" i="3"/>
  <c r="G646" i="3"/>
  <c r="I646" i="3" l="1"/>
  <c r="J646" i="3"/>
  <c r="M646" i="3"/>
  <c r="N646" i="3" s="1"/>
  <c r="V646" i="3"/>
  <c r="A647" i="3"/>
  <c r="B647" i="3" s="1"/>
  <c r="W646" i="3" l="1"/>
  <c r="AC647" i="3"/>
  <c r="AD647" i="3"/>
  <c r="P647" i="3"/>
  <c r="Q647" i="3" s="1"/>
  <c r="R647" i="3" s="1"/>
  <c r="S647" i="3" s="1"/>
  <c r="Z647" i="3"/>
  <c r="AA647" i="3"/>
  <c r="L646" i="3"/>
  <c r="T647" i="3" l="1"/>
  <c r="AH647" i="3" s="1"/>
  <c r="U646" i="3"/>
  <c r="Y645" i="3"/>
  <c r="AG647" i="3" l="1"/>
  <c r="E647" i="3"/>
  <c r="H647" i="3" s="1"/>
  <c r="K647" i="3" s="1"/>
  <c r="AE647" i="3" s="1"/>
  <c r="D647" i="3"/>
  <c r="G647" i="3" s="1"/>
  <c r="F647" i="3" l="1"/>
  <c r="I647" i="3"/>
  <c r="J647" i="3"/>
  <c r="M647" i="3"/>
  <c r="N647" i="3" s="1"/>
  <c r="V647" i="3"/>
  <c r="A648" i="3"/>
  <c r="B648" i="3" s="1"/>
  <c r="W647" i="3" l="1"/>
  <c r="AD648" i="3"/>
  <c r="AA648" i="3"/>
  <c r="P648" i="3"/>
  <c r="Q648" i="3" s="1"/>
  <c r="R648" i="3" s="1"/>
  <c r="S648" i="3" s="1"/>
  <c r="Z648" i="3"/>
  <c r="AC648" i="3"/>
  <c r="L647" i="3"/>
  <c r="T648" i="3" l="1"/>
  <c r="AH648" i="3" s="1"/>
  <c r="U647" i="3"/>
  <c r="Y646" i="3"/>
  <c r="D648" i="3" l="1"/>
  <c r="G648" i="3" s="1"/>
  <c r="AG648" i="3"/>
  <c r="E648" i="3"/>
  <c r="H648" i="3" s="1"/>
  <c r="K648" i="3" s="1"/>
  <c r="AE648" i="3" s="1"/>
  <c r="F648" i="3" l="1"/>
  <c r="I648" i="3"/>
  <c r="J648" i="3"/>
  <c r="M648" i="3"/>
  <c r="N648" i="3" s="1"/>
  <c r="V648" i="3"/>
  <c r="A649" i="3"/>
  <c r="B649" i="3" s="1"/>
  <c r="W648" i="3" l="1"/>
  <c r="AC649" i="3"/>
  <c r="Z649" i="3"/>
  <c r="P649" i="3"/>
  <c r="Q649" i="3" s="1"/>
  <c r="R649" i="3" s="1"/>
  <c r="S649" i="3" s="1"/>
  <c r="AA649" i="3"/>
  <c r="AD649" i="3"/>
  <c r="L648" i="3"/>
  <c r="T649" i="3" l="1"/>
  <c r="AH649" i="3" s="1"/>
  <c r="U648" i="3"/>
  <c r="Y647" i="3"/>
  <c r="E649" i="3" l="1"/>
  <c r="H649" i="3" s="1"/>
  <c r="K649" i="3" s="1"/>
  <c r="AE649" i="3" s="1"/>
  <c r="AG649" i="3"/>
  <c r="D649" i="3"/>
  <c r="V649" i="3" l="1"/>
  <c r="A650" i="3"/>
  <c r="B650" i="3" s="1"/>
  <c r="F649" i="3"/>
  <c r="G649" i="3"/>
  <c r="AA650" i="3" l="1"/>
  <c r="Z650" i="3"/>
  <c r="P650" i="3"/>
  <c r="Q650" i="3" s="1"/>
  <c r="R650" i="3" s="1"/>
  <c r="S650" i="3" s="1"/>
  <c r="AD650" i="3"/>
  <c r="AC650" i="3"/>
  <c r="I649" i="3"/>
  <c r="W649" i="3" s="1"/>
  <c r="J649" i="3"/>
  <c r="M649" i="3"/>
  <c r="N649" i="3" s="1"/>
  <c r="T650" i="3" l="1"/>
  <c r="L649" i="3"/>
  <c r="AG650" i="3" l="1"/>
  <c r="U649" i="3"/>
  <c r="D650" i="3" s="1"/>
  <c r="AH650" i="3"/>
  <c r="Y648" i="3"/>
  <c r="G650" i="3" l="1"/>
  <c r="E650" i="3"/>
  <c r="H650" i="3" s="1"/>
  <c r="K650" i="3" l="1"/>
  <c r="AE650" i="3" s="1"/>
  <c r="I650" i="3"/>
  <c r="J650" i="3"/>
  <c r="M650" i="3"/>
  <c r="N650" i="3" s="1"/>
  <c r="F650" i="3"/>
  <c r="L650" i="3" l="1"/>
  <c r="V650" i="3"/>
  <c r="W650" i="3" s="1"/>
  <c r="A651" i="3"/>
  <c r="B651" i="3" s="1"/>
  <c r="Z651" i="3" l="1"/>
  <c r="AC651" i="3"/>
  <c r="P651" i="3"/>
  <c r="Q651" i="3" s="1"/>
  <c r="R651" i="3" s="1"/>
  <c r="S651" i="3" s="1"/>
  <c r="AA651" i="3"/>
  <c r="AD651" i="3"/>
  <c r="U650" i="3"/>
  <c r="Y649" i="3"/>
  <c r="T651" i="3" l="1"/>
  <c r="AH651" i="3" s="1"/>
  <c r="E651" i="3" l="1"/>
  <c r="H651" i="3" s="1"/>
  <c r="K651" i="3" s="1"/>
  <c r="AE651" i="3" s="1"/>
  <c r="D651" i="3"/>
  <c r="AG651" i="3"/>
  <c r="F651" i="3" l="1"/>
  <c r="G651" i="3"/>
  <c r="V651" i="3"/>
  <c r="A652" i="3"/>
  <c r="B652" i="3" s="1"/>
  <c r="AC652" i="3" l="1"/>
  <c r="AA652" i="3"/>
  <c r="Z652" i="3"/>
  <c r="AD652" i="3"/>
  <c r="P652" i="3"/>
  <c r="Q652" i="3" s="1"/>
  <c r="R652" i="3" s="1"/>
  <c r="S652" i="3" s="1"/>
  <c r="I651" i="3"/>
  <c r="W651" i="3" s="1"/>
  <c r="J651" i="3"/>
  <c r="M651" i="3"/>
  <c r="N651" i="3" s="1"/>
  <c r="L651" i="3" l="1"/>
  <c r="T652" i="3"/>
  <c r="AH652" i="3" l="1"/>
  <c r="U651" i="3"/>
  <c r="E652" i="3" s="1"/>
  <c r="H652" i="3" s="1"/>
  <c r="AG652" i="3"/>
  <c r="Y650" i="3"/>
  <c r="D652" i="3" l="1"/>
  <c r="F652" i="3" s="1"/>
  <c r="K652" i="3"/>
  <c r="AE652" i="3" s="1"/>
  <c r="G652" i="3" l="1"/>
  <c r="I652" i="3" s="1"/>
  <c r="V652" i="3"/>
  <c r="A653" i="3"/>
  <c r="B653" i="3" s="1"/>
  <c r="M652" i="3" l="1"/>
  <c r="N652" i="3" s="1"/>
  <c r="J652" i="3"/>
  <c r="L652" i="3" s="1"/>
  <c r="W652" i="3"/>
  <c r="AC653" i="3"/>
  <c r="Z653" i="3"/>
  <c r="AA653" i="3"/>
  <c r="P653" i="3"/>
  <c r="Q653" i="3" s="1"/>
  <c r="R653" i="3" s="1"/>
  <c r="S653" i="3" s="1"/>
  <c r="AD653" i="3"/>
  <c r="T653" i="3" l="1"/>
  <c r="AG653" i="3" s="1"/>
  <c r="U652" i="3"/>
  <c r="Y651" i="3"/>
  <c r="D653" i="3" l="1"/>
  <c r="G653" i="3" s="1"/>
  <c r="AH653" i="3"/>
  <c r="E653" i="3"/>
  <c r="H653" i="3" s="1"/>
  <c r="K653" i="3" s="1"/>
  <c r="AE653" i="3" s="1"/>
  <c r="F653" i="3" l="1"/>
  <c r="V653" i="3"/>
  <c r="A654" i="3"/>
  <c r="B654" i="3" s="1"/>
  <c r="I653" i="3"/>
  <c r="J653" i="3"/>
  <c r="M653" i="3"/>
  <c r="N653" i="3" s="1"/>
  <c r="L653" i="3" l="1"/>
  <c r="P654" i="3"/>
  <c r="Q654" i="3" s="1"/>
  <c r="R654" i="3" s="1"/>
  <c r="S654" i="3" s="1"/>
  <c r="AA654" i="3"/>
  <c r="Z654" i="3"/>
  <c r="AC654" i="3"/>
  <c r="W653" i="3"/>
  <c r="T654" i="3" l="1"/>
  <c r="AG654" i="3" s="1"/>
  <c r="U653" i="3"/>
  <c r="Y652" i="3"/>
  <c r="E654" i="3" l="1"/>
  <c r="H654" i="3" s="1"/>
  <c r="K654" i="3" s="1"/>
  <c r="AE654" i="3" s="1"/>
  <c r="D654" i="3"/>
  <c r="AH654" i="3"/>
  <c r="F654" i="3" l="1"/>
  <c r="G654" i="3"/>
  <c r="I654" i="3" s="1"/>
  <c r="V654" i="3"/>
  <c r="A655" i="3"/>
  <c r="B655" i="3" s="1"/>
  <c r="M654" i="3" l="1"/>
  <c r="N654" i="3" s="1"/>
  <c r="J654" i="3"/>
  <c r="AD654" i="3" s="1"/>
  <c r="W654" i="3"/>
  <c r="AA655" i="3"/>
  <c r="P655" i="3"/>
  <c r="Q655" i="3" s="1"/>
  <c r="R655" i="3" s="1"/>
  <c r="S655" i="3" s="1"/>
  <c r="AC655" i="3"/>
  <c r="AD655" i="3"/>
  <c r="Z655" i="3"/>
  <c r="L654" i="3" l="1"/>
  <c r="U654" i="3" s="1"/>
  <c r="T655" i="3"/>
  <c r="Y653" i="3" l="1"/>
  <c r="AH655" i="3"/>
  <c r="D655" i="3"/>
  <c r="G655" i="3" s="1"/>
  <c r="AG655" i="3"/>
  <c r="E655" i="3"/>
  <c r="H655" i="3" s="1"/>
  <c r="K655" i="3" l="1"/>
  <c r="AE655" i="3" s="1"/>
  <c r="I655" i="3"/>
  <c r="J655" i="3"/>
  <c r="M655" i="3"/>
  <c r="N655" i="3" s="1"/>
  <c r="F655" i="3"/>
  <c r="L655" i="3" l="1"/>
  <c r="V655" i="3"/>
  <c r="W655" i="3" s="1"/>
  <c r="A656" i="3"/>
  <c r="B656" i="3" s="1"/>
  <c r="P656" i="3" l="1"/>
  <c r="Q656" i="3" s="1"/>
  <c r="R656" i="3" s="1"/>
  <c r="S656" i="3" s="1"/>
  <c r="AA656" i="3"/>
  <c r="Z656" i="3"/>
  <c r="AD656" i="3"/>
  <c r="AC656" i="3"/>
  <c r="U655" i="3"/>
  <c r="Y654" i="3"/>
  <c r="T656" i="3" l="1"/>
  <c r="AH656" i="3" l="1"/>
  <c r="AG656" i="3"/>
  <c r="E656" i="3"/>
  <c r="H656" i="3" s="1"/>
  <c r="D656" i="3"/>
  <c r="K656" i="3" l="1"/>
  <c r="AE656" i="3" s="1"/>
  <c r="F656" i="3"/>
  <c r="G656" i="3"/>
  <c r="I656" i="3" l="1"/>
  <c r="J656" i="3"/>
  <c r="M656" i="3"/>
  <c r="N656" i="3" s="1"/>
  <c r="V656" i="3"/>
  <c r="A657" i="3"/>
  <c r="B657" i="3" s="1"/>
  <c r="W656" i="3" l="1"/>
  <c r="L656" i="3"/>
  <c r="P657" i="3"/>
  <c r="Q657" i="3" s="1"/>
  <c r="R657" i="3" s="1"/>
  <c r="S657" i="3" s="1"/>
  <c r="AC657" i="3"/>
  <c r="AA657" i="3"/>
  <c r="Z657" i="3"/>
  <c r="AD657" i="3"/>
  <c r="T657" i="3" l="1"/>
  <c r="AG657" i="3" s="1"/>
  <c r="U656" i="3"/>
  <c r="Y655" i="3"/>
  <c r="D657" i="3" l="1"/>
  <c r="G657" i="3" s="1"/>
  <c r="AH657" i="3"/>
  <c r="E657" i="3"/>
  <c r="H657" i="3" s="1"/>
  <c r="K657" i="3" s="1"/>
  <c r="AE657" i="3" s="1"/>
  <c r="F657" i="3" l="1"/>
  <c r="V657" i="3"/>
  <c r="A658" i="3"/>
  <c r="B658" i="3" s="1"/>
  <c r="I657" i="3"/>
  <c r="J657" i="3"/>
  <c r="M657" i="3"/>
  <c r="N657" i="3" s="1"/>
  <c r="L657" i="3" l="1"/>
  <c r="AD658" i="3"/>
  <c r="AA658" i="3"/>
  <c r="P658" i="3"/>
  <c r="Q658" i="3" s="1"/>
  <c r="R658" i="3" s="1"/>
  <c r="S658" i="3" s="1"/>
  <c r="AC658" i="3"/>
  <c r="Z658" i="3"/>
  <c r="W657" i="3"/>
  <c r="T658" i="3" l="1"/>
  <c r="AG658" i="3" s="1"/>
  <c r="U657" i="3"/>
  <c r="Y656" i="3"/>
  <c r="D658" i="3" l="1"/>
  <c r="G658" i="3" s="1"/>
  <c r="AH658" i="3"/>
  <c r="E658" i="3"/>
  <c r="H658" i="3" s="1"/>
  <c r="K658" i="3" l="1"/>
  <c r="AE658" i="3" s="1"/>
  <c r="I658" i="3"/>
  <c r="J658" i="3"/>
  <c r="M658" i="3"/>
  <c r="N658" i="3" s="1"/>
  <c r="F658" i="3"/>
  <c r="V658" i="3" l="1"/>
  <c r="W658" i="3" s="1"/>
  <c r="A659" i="3"/>
  <c r="B659" i="3" s="1"/>
  <c r="L658" i="3"/>
  <c r="P659" i="3" l="1"/>
  <c r="Q659" i="3" s="1"/>
  <c r="R659" i="3" s="1"/>
  <c r="S659" i="3" s="1"/>
  <c r="AC659" i="3"/>
  <c r="AA659" i="3"/>
  <c r="Z659" i="3"/>
  <c r="AD659" i="3"/>
  <c r="U658" i="3"/>
  <c r="Y657" i="3"/>
  <c r="T659" i="3" l="1"/>
  <c r="D659" i="3" l="1"/>
  <c r="E659" i="3"/>
  <c r="H659" i="3" s="1"/>
  <c r="AH659" i="3"/>
  <c r="AG659" i="3"/>
  <c r="K659" i="3" l="1"/>
  <c r="AE659" i="3" s="1"/>
  <c r="F659" i="3"/>
  <c r="G659" i="3"/>
  <c r="I659" i="3" l="1"/>
  <c r="J659" i="3"/>
  <c r="M659" i="3"/>
  <c r="N659" i="3" s="1"/>
  <c r="V659" i="3"/>
  <c r="A660" i="3"/>
  <c r="B660" i="3" s="1"/>
  <c r="W659" i="3" l="1"/>
  <c r="AA660" i="3"/>
  <c r="Z660" i="3"/>
  <c r="AD660" i="3"/>
  <c r="AC660" i="3"/>
  <c r="P660" i="3"/>
  <c r="Q660" i="3" s="1"/>
  <c r="R660" i="3" s="1"/>
  <c r="S660" i="3" s="1"/>
  <c r="L659" i="3"/>
  <c r="T660" i="3" l="1"/>
  <c r="AG660" i="3" s="1"/>
  <c r="U659" i="3"/>
  <c r="Y658" i="3"/>
  <c r="E660" i="3" l="1"/>
  <c r="H660" i="3" s="1"/>
  <c r="K660" i="3" s="1"/>
  <c r="AE660" i="3" s="1"/>
  <c r="D660" i="3"/>
  <c r="G660" i="3" s="1"/>
  <c r="AH660" i="3"/>
  <c r="F660" i="3" l="1"/>
  <c r="V660" i="3"/>
  <c r="A661" i="3"/>
  <c r="B661" i="3" s="1"/>
  <c r="I660" i="3"/>
  <c r="J660" i="3"/>
  <c r="M660" i="3"/>
  <c r="N660" i="3" s="1"/>
  <c r="L660" i="3" l="1"/>
  <c r="AC661" i="3"/>
  <c r="Z661" i="3"/>
  <c r="P661" i="3"/>
  <c r="Q661" i="3" s="1"/>
  <c r="R661" i="3" s="1"/>
  <c r="S661" i="3" s="1"/>
  <c r="AA661" i="3"/>
  <c r="AD661" i="3"/>
  <c r="W660" i="3"/>
  <c r="T661" i="3" l="1"/>
  <c r="AH661" i="3" s="1"/>
  <c r="U660" i="3"/>
  <c r="Y659" i="3"/>
  <c r="D661" i="3" l="1"/>
  <c r="G661" i="3" s="1"/>
  <c r="E661" i="3"/>
  <c r="H661" i="3" s="1"/>
  <c r="K661" i="3" s="1"/>
  <c r="AE661" i="3" s="1"/>
  <c r="AG661" i="3"/>
  <c r="F661" i="3" l="1"/>
  <c r="V661" i="3"/>
  <c r="A662" i="3"/>
  <c r="B662" i="3" s="1"/>
  <c r="I661" i="3"/>
  <c r="J661" i="3"/>
  <c r="M661" i="3"/>
  <c r="N661" i="3" s="1"/>
  <c r="Z662" i="3" l="1"/>
  <c r="P662" i="3"/>
  <c r="Q662" i="3" s="1"/>
  <c r="R662" i="3" s="1"/>
  <c r="S662" i="3" s="1"/>
  <c r="AA662" i="3"/>
  <c r="AD662" i="3"/>
  <c r="AC662" i="3"/>
  <c r="L661" i="3"/>
  <c r="W661" i="3"/>
  <c r="T662" i="3" l="1"/>
  <c r="AG662" i="3" s="1"/>
  <c r="U661" i="3"/>
  <c r="Y660" i="3"/>
  <c r="AH662" i="3" l="1"/>
  <c r="E662" i="3"/>
  <c r="H662" i="3" s="1"/>
  <c r="K662" i="3" s="1"/>
  <c r="AE662" i="3" s="1"/>
  <c r="D662" i="3"/>
  <c r="F662" i="3" l="1"/>
  <c r="G662" i="3"/>
  <c r="I662" i="3" s="1"/>
  <c r="V662" i="3"/>
  <c r="A663" i="3"/>
  <c r="B663" i="3" s="1"/>
  <c r="M662" i="3" l="1"/>
  <c r="N662" i="3" s="1"/>
  <c r="J662" i="3"/>
  <c r="L662" i="3" s="1"/>
  <c r="W662" i="3"/>
  <c r="AC663" i="3"/>
  <c r="P663" i="3"/>
  <c r="Q663" i="3" s="1"/>
  <c r="R663" i="3" s="1"/>
  <c r="S663" i="3" s="1"/>
  <c r="AD663" i="3"/>
  <c r="AA663" i="3"/>
  <c r="Z663" i="3"/>
  <c r="T663" i="3" l="1"/>
  <c r="AH663" i="3" s="1"/>
  <c r="U662" i="3"/>
  <c r="Y661" i="3"/>
  <c r="AG663" i="3" l="1"/>
  <c r="E663" i="3"/>
  <c r="H663" i="3" s="1"/>
  <c r="K663" i="3" s="1"/>
  <c r="AE663" i="3" s="1"/>
  <c r="D663" i="3"/>
  <c r="F663" i="3" l="1"/>
  <c r="G663" i="3"/>
  <c r="M663" i="3" s="1"/>
  <c r="N663" i="3" s="1"/>
  <c r="V663" i="3"/>
  <c r="A664" i="3"/>
  <c r="B664" i="3" s="1"/>
  <c r="J663" i="3" l="1"/>
  <c r="L663" i="3" s="1"/>
  <c r="I663" i="3"/>
  <c r="W663" i="3" s="1"/>
  <c r="AC664" i="3"/>
  <c r="Z664" i="3"/>
  <c r="AA664" i="3"/>
  <c r="P664" i="3"/>
  <c r="Q664" i="3" s="1"/>
  <c r="R664" i="3" s="1"/>
  <c r="S664" i="3" s="1"/>
  <c r="T664" i="3" l="1"/>
  <c r="AG664" i="3" s="1"/>
  <c r="U663" i="3"/>
  <c r="Y662" i="3"/>
  <c r="D664" i="3" l="1"/>
  <c r="G664" i="3" s="1"/>
  <c r="E664" i="3"/>
  <c r="H664" i="3" s="1"/>
  <c r="K664" i="3" s="1"/>
  <c r="AE664" i="3" s="1"/>
  <c r="AH664" i="3"/>
  <c r="F664" i="3" l="1"/>
  <c r="V664" i="3"/>
  <c r="A665" i="3"/>
  <c r="B665" i="3" s="1"/>
  <c r="I664" i="3"/>
  <c r="J664" i="3"/>
  <c r="AD664" i="3" s="1"/>
  <c r="M664" i="3"/>
  <c r="N664" i="3" s="1"/>
  <c r="W664" i="3" l="1"/>
  <c r="L664" i="3"/>
  <c r="AA665" i="3"/>
  <c r="P665" i="3"/>
  <c r="Q665" i="3" s="1"/>
  <c r="R665" i="3" s="1"/>
  <c r="S665" i="3" s="1"/>
  <c r="AC665" i="3"/>
  <c r="Z665" i="3"/>
  <c r="AD665" i="3"/>
  <c r="T665" i="3" l="1"/>
  <c r="AG665" i="3" s="1"/>
  <c r="U664" i="3"/>
  <c r="Y663" i="3"/>
  <c r="D665" i="3" l="1"/>
  <c r="G665" i="3" s="1"/>
  <c r="E665" i="3"/>
  <c r="H665" i="3" s="1"/>
  <c r="K665" i="3" s="1"/>
  <c r="AE665" i="3" s="1"/>
  <c r="AH665" i="3"/>
  <c r="F665" i="3" l="1"/>
  <c r="V665" i="3"/>
  <c r="A666" i="3"/>
  <c r="B666" i="3" s="1"/>
  <c r="I665" i="3"/>
  <c r="J665" i="3"/>
  <c r="M665" i="3"/>
  <c r="N665" i="3" s="1"/>
  <c r="W665" i="3" l="1"/>
  <c r="L665" i="3"/>
  <c r="AD666" i="3"/>
  <c r="AA666" i="3"/>
  <c r="P666" i="3"/>
  <c r="Q666" i="3" s="1"/>
  <c r="R666" i="3" s="1"/>
  <c r="S666" i="3" s="1"/>
  <c r="Z666" i="3"/>
  <c r="AC666" i="3"/>
  <c r="T666" i="3" l="1"/>
  <c r="AG666" i="3" s="1"/>
  <c r="U665" i="3"/>
  <c r="Y664" i="3"/>
  <c r="D666" i="3" l="1"/>
  <c r="G666" i="3" s="1"/>
  <c r="AH666" i="3"/>
  <c r="E666" i="3"/>
  <c r="H666" i="3" s="1"/>
  <c r="K666" i="3" s="1"/>
  <c r="AE666" i="3" s="1"/>
  <c r="F666" i="3" l="1"/>
  <c r="V666" i="3"/>
  <c r="A667" i="3"/>
  <c r="B667" i="3" s="1"/>
  <c r="I666" i="3"/>
  <c r="J666" i="3"/>
  <c r="M666" i="3"/>
  <c r="N666" i="3" s="1"/>
  <c r="Z667" i="3" l="1"/>
  <c r="P667" i="3"/>
  <c r="Q667" i="3" s="1"/>
  <c r="R667" i="3" s="1"/>
  <c r="S667" i="3" s="1"/>
  <c r="AA667" i="3"/>
  <c r="AD667" i="3"/>
  <c r="AC667" i="3"/>
  <c r="L666" i="3"/>
  <c r="W666" i="3"/>
  <c r="T667" i="3" l="1"/>
  <c r="AH667" i="3" s="1"/>
  <c r="U666" i="3"/>
  <c r="Y665" i="3"/>
  <c r="AG667" i="3" l="1"/>
  <c r="D667" i="3"/>
  <c r="G667" i="3" s="1"/>
  <c r="E667" i="3"/>
  <c r="H667" i="3" s="1"/>
  <c r="K667" i="3" s="1"/>
  <c r="AE667" i="3" s="1"/>
  <c r="F667" i="3" l="1"/>
  <c r="V667" i="3"/>
  <c r="A668" i="3"/>
  <c r="B668" i="3" s="1"/>
  <c r="I667" i="3"/>
  <c r="J667" i="3"/>
  <c r="M667" i="3"/>
  <c r="N667" i="3" s="1"/>
  <c r="AD668" i="3" l="1"/>
  <c r="AC668" i="3"/>
  <c r="AA668" i="3"/>
  <c r="Z668" i="3"/>
  <c r="P668" i="3"/>
  <c r="Q668" i="3" s="1"/>
  <c r="R668" i="3" s="1"/>
  <c r="S668" i="3" s="1"/>
  <c r="L667" i="3"/>
  <c r="W667" i="3"/>
  <c r="T668" i="3" l="1"/>
  <c r="AG668" i="3" s="1"/>
  <c r="U667" i="3"/>
  <c r="Y666" i="3"/>
  <c r="AH668" i="3" l="1"/>
  <c r="D668" i="3"/>
  <c r="G668" i="3" s="1"/>
  <c r="E668" i="3"/>
  <c r="H668" i="3" s="1"/>
  <c r="K668" i="3" s="1"/>
  <c r="AE668" i="3" s="1"/>
  <c r="F668" i="3" l="1"/>
  <c r="I668" i="3"/>
  <c r="J668" i="3"/>
  <c r="M668" i="3"/>
  <c r="N668" i="3" s="1"/>
  <c r="V668" i="3"/>
  <c r="W668" i="3" s="1"/>
  <c r="A669" i="3"/>
  <c r="B669" i="3" s="1"/>
  <c r="AC669" i="3" l="1"/>
  <c r="Z669" i="3"/>
  <c r="AA669" i="3"/>
  <c r="P669" i="3"/>
  <c r="Q669" i="3" s="1"/>
  <c r="R669" i="3" s="1"/>
  <c r="S669" i="3" s="1"/>
  <c r="AD669" i="3"/>
  <c r="L668" i="3"/>
  <c r="T669" i="3" l="1"/>
  <c r="AG669" i="3" s="1"/>
  <c r="U668" i="3"/>
  <c r="Y667" i="3"/>
  <c r="E669" i="3" l="1"/>
  <c r="H669" i="3" s="1"/>
  <c r="K669" i="3" s="1"/>
  <c r="AE669" i="3" s="1"/>
  <c r="D669" i="3"/>
  <c r="AH669" i="3"/>
  <c r="F669" i="3" l="1"/>
  <c r="G669" i="3"/>
  <c r="J669" i="3" s="1"/>
  <c r="V669" i="3"/>
  <c r="A670" i="3"/>
  <c r="B670" i="3" s="1"/>
  <c r="I669" i="3" l="1"/>
  <c r="M669" i="3"/>
  <c r="N669" i="3" s="1"/>
  <c r="L669" i="3"/>
  <c r="AD670" i="3"/>
  <c r="P670" i="3"/>
  <c r="Q670" i="3" s="1"/>
  <c r="R670" i="3" s="1"/>
  <c r="S670" i="3" s="1"/>
  <c r="Z670" i="3"/>
  <c r="AC670" i="3"/>
  <c r="AA670" i="3"/>
  <c r="W669" i="3"/>
  <c r="T670" i="3" l="1"/>
  <c r="AH670" i="3" s="1"/>
  <c r="U669" i="3"/>
  <c r="Y668" i="3"/>
  <c r="AG670" i="3" l="1"/>
  <c r="D670" i="3"/>
  <c r="G670" i="3" s="1"/>
  <c r="E670" i="3"/>
  <c r="H670" i="3" s="1"/>
  <c r="K670" i="3" s="1"/>
  <c r="AE670" i="3" s="1"/>
  <c r="F670" i="3" l="1"/>
  <c r="V670" i="3"/>
  <c r="A671" i="3"/>
  <c r="B671" i="3" s="1"/>
  <c r="I670" i="3"/>
  <c r="J670" i="3"/>
  <c r="M670" i="3"/>
  <c r="N670" i="3" s="1"/>
  <c r="W670" i="3" l="1"/>
  <c r="L670" i="3"/>
  <c r="AD671" i="3"/>
  <c r="AA671" i="3"/>
  <c r="P671" i="3"/>
  <c r="Q671" i="3" s="1"/>
  <c r="R671" i="3" s="1"/>
  <c r="S671" i="3" s="1"/>
  <c r="AC671" i="3"/>
  <c r="Z671" i="3"/>
  <c r="T671" i="3" l="1"/>
  <c r="AG671" i="3" s="1"/>
  <c r="U670" i="3"/>
  <c r="Y669" i="3"/>
  <c r="E671" i="3" l="1"/>
  <c r="H671" i="3" s="1"/>
  <c r="K671" i="3" s="1"/>
  <c r="AE671" i="3" s="1"/>
  <c r="AH671" i="3"/>
  <c r="D671" i="3"/>
  <c r="G671" i="3" s="1"/>
  <c r="F671" i="3" l="1"/>
  <c r="V671" i="3"/>
  <c r="A672" i="3"/>
  <c r="B672" i="3" s="1"/>
  <c r="I671" i="3"/>
  <c r="J671" i="3"/>
  <c r="M671" i="3"/>
  <c r="N671" i="3" s="1"/>
  <c r="W671" i="3" l="1"/>
  <c r="AD672" i="3"/>
  <c r="P672" i="3"/>
  <c r="Q672" i="3" s="1"/>
  <c r="R672" i="3" s="1"/>
  <c r="S672" i="3" s="1"/>
  <c r="Z672" i="3"/>
  <c r="AC672" i="3"/>
  <c r="AA672" i="3"/>
  <c r="L671" i="3"/>
  <c r="U671" i="3" l="1"/>
  <c r="Y670" i="3"/>
  <c r="T672" i="3"/>
  <c r="AH672" i="3" s="1"/>
  <c r="D672" i="3" l="1"/>
  <c r="E672" i="3"/>
  <c r="H672" i="3" s="1"/>
  <c r="AG672" i="3"/>
  <c r="K672" i="3" l="1"/>
  <c r="AE672" i="3" s="1"/>
  <c r="F672" i="3"/>
  <c r="G672" i="3"/>
  <c r="I672" i="3" l="1"/>
  <c r="J672" i="3"/>
  <c r="M672" i="3"/>
  <c r="N672" i="3" s="1"/>
  <c r="V672" i="3"/>
  <c r="A673" i="3"/>
  <c r="B673" i="3" s="1"/>
  <c r="W672" i="3" l="1"/>
  <c r="AC673" i="3"/>
  <c r="AA673" i="3"/>
  <c r="P673" i="3"/>
  <c r="Q673" i="3" s="1"/>
  <c r="R673" i="3" s="1"/>
  <c r="S673" i="3" s="1"/>
  <c r="AD673" i="3"/>
  <c r="Z673" i="3"/>
  <c r="L672" i="3"/>
  <c r="T673" i="3" l="1"/>
  <c r="AG673" i="3" s="1"/>
  <c r="U672" i="3"/>
  <c r="Y671" i="3"/>
  <c r="E673" i="3" l="1"/>
  <c r="H673" i="3" s="1"/>
  <c r="K673" i="3" s="1"/>
  <c r="AE673" i="3" s="1"/>
  <c r="AH673" i="3"/>
  <c r="D673" i="3"/>
  <c r="F673" i="3" l="1"/>
  <c r="G673" i="3"/>
  <c r="V673" i="3"/>
  <c r="A674" i="3"/>
  <c r="B674" i="3" s="1"/>
  <c r="Z674" i="3" l="1"/>
  <c r="AC674" i="3"/>
  <c r="P674" i="3"/>
  <c r="Q674" i="3" s="1"/>
  <c r="R674" i="3" s="1"/>
  <c r="S674" i="3" s="1"/>
  <c r="AA674" i="3"/>
  <c r="I673" i="3"/>
  <c r="W673" i="3" s="1"/>
  <c r="J673" i="3"/>
  <c r="M673" i="3"/>
  <c r="N673" i="3" s="1"/>
  <c r="T674" i="3" l="1"/>
  <c r="L673" i="3"/>
  <c r="AH674" i="3" l="1"/>
  <c r="U673" i="3"/>
  <c r="D674" i="3" s="1"/>
  <c r="AG674" i="3"/>
  <c r="Y672" i="3"/>
  <c r="E674" i="3" l="1"/>
  <c r="H674" i="3" s="1"/>
  <c r="K674" i="3" s="1"/>
  <c r="AE674" i="3" s="1"/>
  <c r="G674" i="3"/>
  <c r="F674" i="3" l="1"/>
  <c r="V674" i="3"/>
  <c r="A675" i="3"/>
  <c r="B675" i="3" s="1"/>
  <c r="I674" i="3"/>
  <c r="J674" i="3"/>
  <c r="AD674" i="3" s="1"/>
  <c r="M674" i="3"/>
  <c r="N674" i="3" s="1"/>
  <c r="W674" i="3" l="1"/>
  <c r="L674" i="3"/>
  <c r="AD675" i="3"/>
  <c r="P675" i="3"/>
  <c r="Q675" i="3" s="1"/>
  <c r="R675" i="3" s="1"/>
  <c r="S675" i="3" s="1"/>
  <c r="Z675" i="3"/>
  <c r="AA675" i="3"/>
  <c r="AC675" i="3"/>
  <c r="T675" i="3" l="1"/>
  <c r="AH675" i="3" s="1"/>
  <c r="U674" i="3"/>
  <c r="Y673" i="3"/>
  <c r="D675" i="3" l="1"/>
  <c r="G675" i="3" s="1"/>
  <c r="AG675" i="3"/>
  <c r="E675" i="3"/>
  <c r="H675" i="3" s="1"/>
  <c r="K675" i="3" s="1"/>
  <c r="AE675" i="3" s="1"/>
  <c r="F675" i="3" l="1"/>
  <c r="V675" i="3"/>
  <c r="A676" i="3"/>
  <c r="B676" i="3" s="1"/>
  <c r="I675" i="3"/>
  <c r="J675" i="3"/>
  <c r="M675" i="3"/>
  <c r="N675" i="3" s="1"/>
  <c r="AC676" i="3" l="1"/>
  <c r="AD676" i="3"/>
  <c r="P676" i="3"/>
  <c r="Q676" i="3" s="1"/>
  <c r="R676" i="3" s="1"/>
  <c r="S676" i="3" s="1"/>
  <c r="Z676" i="3"/>
  <c r="AA676" i="3"/>
  <c r="L675" i="3"/>
  <c r="W675" i="3"/>
  <c r="T676" i="3" l="1"/>
  <c r="AH676" i="3" s="1"/>
  <c r="U675" i="3"/>
  <c r="Y674" i="3"/>
  <c r="AG676" i="3" l="1"/>
  <c r="D676" i="3"/>
  <c r="G676" i="3" s="1"/>
  <c r="E676" i="3"/>
  <c r="H676" i="3" s="1"/>
  <c r="K676" i="3" l="1"/>
  <c r="AE676" i="3" s="1"/>
  <c r="I676" i="3"/>
  <c r="J676" i="3"/>
  <c r="M676" i="3"/>
  <c r="N676" i="3" s="1"/>
  <c r="F676" i="3"/>
  <c r="L676" i="3" l="1"/>
  <c r="V676" i="3"/>
  <c r="W676" i="3" s="1"/>
  <c r="A677" i="3"/>
  <c r="B677" i="3" s="1"/>
  <c r="P677" i="3" l="1"/>
  <c r="Q677" i="3" s="1"/>
  <c r="R677" i="3" s="1"/>
  <c r="S677" i="3" s="1"/>
  <c r="AC677" i="3"/>
  <c r="AA677" i="3"/>
  <c r="Z677" i="3"/>
  <c r="AD677" i="3"/>
  <c r="U676" i="3"/>
  <c r="Y675" i="3"/>
  <c r="T677" i="3" l="1"/>
  <c r="AG677" i="3" l="1"/>
  <c r="E677" i="3"/>
  <c r="H677" i="3" s="1"/>
  <c r="AH677" i="3"/>
  <c r="D677" i="3"/>
  <c r="F677" i="3" l="1"/>
  <c r="G677" i="3"/>
  <c r="K677" i="3"/>
  <c r="AE677" i="3" s="1"/>
  <c r="V677" i="3" l="1"/>
  <c r="A678" i="3"/>
  <c r="B678" i="3" s="1"/>
  <c r="I677" i="3"/>
  <c r="J677" i="3"/>
  <c r="M677" i="3"/>
  <c r="N677" i="3" s="1"/>
  <c r="L677" i="3" l="1"/>
  <c r="P678" i="3"/>
  <c r="Q678" i="3" s="1"/>
  <c r="R678" i="3" s="1"/>
  <c r="S678" i="3" s="1"/>
  <c r="AA678" i="3"/>
  <c r="AC678" i="3"/>
  <c r="Z678" i="3"/>
  <c r="AD678" i="3"/>
  <c r="W677" i="3"/>
  <c r="T678" i="3" l="1"/>
  <c r="AH678" i="3" s="1"/>
  <c r="U677" i="3"/>
  <c r="Y676" i="3"/>
  <c r="AG678" i="3" l="1"/>
  <c r="E678" i="3"/>
  <c r="H678" i="3" s="1"/>
  <c r="K678" i="3" s="1"/>
  <c r="AE678" i="3" s="1"/>
  <c r="D678" i="3"/>
  <c r="F678" i="3" l="1"/>
  <c r="G678" i="3"/>
  <c r="I678" i="3" s="1"/>
  <c r="V678" i="3"/>
  <c r="A679" i="3"/>
  <c r="B679" i="3" s="1"/>
  <c r="M678" i="3" l="1"/>
  <c r="N678" i="3" s="1"/>
  <c r="J678" i="3"/>
  <c r="L678" i="3" s="1"/>
  <c r="Z679" i="3"/>
  <c r="AD679" i="3"/>
  <c r="AC679" i="3"/>
  <c r="P679" i="3"/>
  <c r="Q679" i="3" s="1"/>
  <c r="R679" i="3" s="1"/>
  <c r="S679" i="3" s="1"/>
  <c r="AA679" i="3"/>
  <c r="W678" i="3"/>
  <c r="T679" i="3" l="1"/>
  <c r="AH679" i="3" s="1"/>
  <c r="U678" i="3"/>
  <c r="Y677" i="3"/>
  <c r="E679" i="3" l="1"/>
  <c r="H679" i="3" s="1"/>
  <c r="K679" i="3" s="1"/>
  <c r="AE679" i="3" s="1"/>
  <c r="D679" i="3"/>
  <c r="G679" i="3" s="1"/>
  <c r="AG679" i="3"/>
  <c r="F679" i="3" l="1"/>
  <c r="I679" i="3"/>
  <c r="J679" i="3"/>
  <c r="M679" i="3"/>
  <c r="N679" i="3" s="1"/>
  <c r="V679" i="3"/>
  <c r="A680" i="3"/>
  <c r="B680" i="3" s="1"/>
  <c r="W679" i="3" l="1"/>
  <c r="AA680" i="3"/>
  <c r="Z680" i="3"/>
  <c r="AD680" i="3"/>
  <c r="P680" i="3"/>
  <c r="Q680" i="3" s="1"/>
  <c r="R680" i="3" s="1"/>
  <c r="S680" i="3" s="1"/>
  <c r="AC680" i="3"/>
  <c r="L679" i="3"/>
  <c r="T680" i="3" l="1"/>
  <c r="AH680" i="3" s="1"/>
  <c r="U679" i="3"/>
  <c r="Y678" i="3"/>
  <c r="D680" i="3" l="1"/>
  <c r="G680" i="3" s="1"/>
  <c r="AG680" i="3"/>
  <c r="E680" i="3"/>
  <c r="H680" i="3" s="1"/>
  <c r="K680" i="3" s="1"/>
  <c r="AE680" i="3" s="1"/>
  <c r="F680" i="3" l="1"/>
  <c r="V680" i="3"/>
  <c r="A681" i="3"/>
  <c r="B681" i="3" s="1"/>
  <c r="I680" i="3"/>
  <c r="J680" i="3"/>
  <c r="M680" i="3"/>
  <c r="N680" i="3" s="1"/>
  <c r="L680" i="3" l="1"/>
  <c r="AA681" i="3"/>
  <c r="P681" i="3"/>
  <c r="Q681" i="3" s="1"/>
  <c r="R681" i="3" s="1"/>
  <c r="S681" i="3" s="1"/>
  <c r="AC681" i="3"/>
  <c r="Z681" i="3"/>
  <c r="AD681" i="3"/>
  <c r="W680" i="3"/>
  <c r="T681" i="3" l="1"/>
  <c r="AH681" i="3" s="1"/>
  <c r="U680" i="3"/>
  <c r="Y679" i="3"/>
  <c r="D681" i="3" l="1"/>
  <c r="G681" i="3" s="1"/>
  <c r="E681" i="3"/>
  <c r="H681" i="3" s="1"/>
  <c r="K681" i="3" s="1"/>
  <c r="AE681" i="3" s="1"/>
  <c r="AG681" i="3"/>
  <c r="F681" i="3" l="1"/>
  <c r="V681" i="3"/>
  <c r="A682" i="3"/>
  <c r="B682" i="3" s="1"/>
  <c r="I681" i="3"/>
  <c r="J681" i="3"/>
  <c r="M681" i="3"/>
  <c r="N681" i="3" s="1"/>
  <c r="L681" i="3" l="1"/>
  <c r="AC682" i="3"/>
  <c r="AA682" i="3"/>
  <c r="P682" i="3"/>
  <c r="Q682" i="3" s="1"/>
  <c r="R682" i="3" s="1"/>
  <c r="S682" i="3" s="1"/>
  <c r="Z682" i="3"/>
  <c r="AD682" i="3"/>
  <c r="W681" i="3"/>
  <c r="T682" i="3" l="1"/>
  <c r="AG682" i="3" s="1"/>
  <c r="U681" i="3"/>
  <c r="Y680" i="3"/>
  <c r="E682" i="3" l="1"/>
  <c r="H682" i="3" s="1"/>
  <c r="K682" i="3" s="1"/>
  <c r="AE682" i="3" s="1"/>
  <c r="AH682" i="3"/>
  <c r="D682" i="3"/>
  <c r="F682" i="3" l="1"/>
  <c r="G682" i="3"/>
  <c r="I682" i="3" s="1"/>
  <c r="V682" i="3"/>
  <c r="A683" i="3"/>
  <c r="B683" i="3" s="1"/>
  <c r="M682" i="3" l="1"/>
  <c r="N682" i="3" s="1"/>
  <c r="J682" i="3"/>
  <c r="L682" i="3" s="1"/>
  <c r="W682" i="3"/>
  <c r="AD683" i="3"/>
  <c r="AA683" i="3"/>
  <c r="Z683" i="3"/>
  <c r="P683" i="3"/>
  <c r="Q683" i="3" s="1"/>
  <c r="R683" i="3" s="1"/>
  <c r="S683" i="3" s="1"/>
  <c r="AC683" i="3"/>
  <c r="T683" i="3" l="1"/>
  <c r="AG683" i="3" s="1"/>
  <c r="U682" i="3"/>
  <c r="Y681" i="3"/>
  <c r="D683" i="3" l="1"/>
  <c r="G683" i="3" s="1"/>
  <c r="AH683" i="3"/>
  <c r="E683" i="3"/>
  <c r="H683" i="3" s="1"/>
  <c r="K683" i="3" s="1"/>
  <c r="AE683" i="3" s="1"/>
  <c r="F683" i="3" l="1"/>
  <c r="V683" i="3"/>
  <c r="A684" i="3"/>
  <c r="B684" i="3" s="1"/>
  <c r="I683" i="3"/>
  <c r="J683" i="3"/>
  <c r="M683" i="3"/>
  <c r="N683" i="3" s="1"/>
  <c r="W683" i="3" l="1"/>
  <c r="L683" i="3"/>
  <c r="Z684" i="3"/>
  <c r="AA684" i="3"/>
  <c r="AC684" i="3"/>
  <c r="P684" i="3"/>
  <c r="Q684" i="3" s="1"/>
  <c r="R684" i="3" s="1"/>
  <c r="S684" i="3" s="1"/>
  <c r="T684" i="3" l="1"/>
  <c r="AG684" i="3" s="1"/>
  <c r="U683" i="3"/>
  <c r="Y682" i="3"/>
  <c r="AH684" i="3" l="1"/>
  <c r="D684" i="3"/>
  <c r="G684" i="3" s="1"/>
  <c r="E684" i="3"/>
  <c r="H684" i="3" s="1"/>
  <c r="K684" i="3" s="1"/>
  <c r="AE684" i="3" s="1"/>
  <c r="F684" i="3" l="1"/>
  <c r="I684" i="3"/>
  <c r="J684" i="3"/>
  <c r="AD684" i="3" s="1"/>
  <c r="M684" i="3"/>
  <c r="N684" i="3" s="1"/>
  <c r="V684" i="3"/>
  <c r="A685" i="3"/>
  <c r="B685" i="3" s="1"/>
  <c r="W684" i="3" l="1"/>
  <c r="Z685" i="3"/>
  <c r="AC685" i="3"/>
  <c r="AD685" i="3"/>
  <c r="P685" i="3"/>
  <c r="Q685" i="3" s="1"/>
  <c r="R685" i="3" s="1"/>
  <c r="S685" i="3" s="1"/>
  <c r="AA685" i="3"/>
  <c r="L684" i="3"/>
  <c r="T685" i="3" l="1"/>
  <c r="AG685" i="3" s="1"/>
  <c r="U684" i="3"/>
  <c r="Y683" i="3"/>
  <c r="E685" i="3" l="1"/>
  <c r="H685" i="3" s="1"/>
  <c r="K685" i="3" s="1"/>
  <c r="AE685" i="3" s="1"/>
  <c r="D685" i="3"/>
  <c r="G685" i="3" s="1"/>
  <c r="AH685" i="3"/>
  <c r="F685" i="3" l="1"/>
  <c r="V685" i="3"/>
  <c r="A686" i="3"/>
  <c r="B686" i="3" s="1"/>
  <c r="I685" i="3"/>
  <c r="J685" i="3"/>
  <c r="M685" i="3"/>
  <c r="N685" i="3" s="1"/>
  <c r="L685" i="3" l="1"/>
  <c r="Z686" i="3"/>
  <c r="AA686" i="3"/>
  <c r="P686" i="3"/>
  <c r="Q686" i="3" s="1"/>
  <c r="R686" i="3" s="1"/>
  <c r="S686" i="3" s="1"/>
  <c r="AC686" i="3"/>
  <c r="AD686" i="3"/>
  <c r="W685" i="3"/>
  <c r="T686" i="3" l="1"/>
  <c r="AH686" i="3" s="1"/>
  <c r="U685" i="3"/>
  <c r="Y684" i="3"/>
  <c r="E686" i="3" l="1"/>
  <c r="H686" i="3" s="1"/>
  <c r="K686" i="3" s="1"/>
  <c r="AE686" i="3" s="1"/>
  <c r="AG686" i="3"/>
  <c r="D686" i="3"/>
  <c r="F686" i="3" l="1"/>
  <c r="G686" i="3"/>
  <c r="V686" i="3"/>
  <c r="A687" i="3"/>
  <c r="B687" i="3" s="1"/>
  <c r="AD687" i="3" l="1"/>
  <c r="AA687" i="3"/>
  <c r="AC687" i="3"/>
  <c r="P687" i="3"/>
  <c r="Q687" i="3" s="1"/>
  <c r="R687" i="3" s="1"/>
  <c r="S687" i="3" s="1"/>
  <c r="Z687" i="3"/>
  <c r="I686" i="3"/>
  <c r="W686" i="3" s="1"/>
  <c r="J686" i="3"/>
  <c r="M686" i="3"/>
  <c r="N686" i="3" s="1"/>
  <c r="T687" i="3" l="1"/>
  <c r="L686" i="3"/>
  <c r="AH687" i="3" l="1"/>
  <c r="U686" i="3"/>
  <c r="D687" i="3" s="1"/>
  <c r="AG687" i="3"/>
  <c r="Y685" i="3"/>
  <c r="E687" i="3" l="1"/>
  <c r="H687" i="3" s="1"/>
  <c r="K687" i="3" s="1"/>
  <c r="AE687" i="3" s="1"/>
  <c r="G687" i="3"/>
  <c r="F687" i="3" l="1"/>
  <c r="V687" i="3"/>
  <c r="A688" i="3"/>
  <c r="B688" i="3" s="1"/>
  <c r="I687" i="3"/>
  <c r="J687" i="3"/>
  <c r="M687" i="3"/>
  <c r="N687" i="3" s="1"/>
  <c r="L687" i="3" l="1"/>
  <c r="W687" i="3"/>
  <c r="Z688" i="3"/>
  <c r="P688" i="3"/>
  <c r="Q688" i="3" s="1"/>
  <c r="R688" i="3" s="1"/>
  <c r="S688" i="3" s="1"/>
  <c r="AC688" i="3"/>
  <c r="AA688" i="3"/>
  <c r="AD688" i="3"/>
  <c r="T688" i="3" l="1"/>
  <c r="AH688" i="3" s="1"/>
  <c r="U687" i="3"/>
  <c r="Y686" i="3"/>
  <c r="D688" i="3" l="1"/>
  <c r="G688" i="3" s="1"/>
  <c r="AG688" i="3"/>
  <c r="E688" i="3"/>
  <c r="H688" i="3" s="1"/>
  <c r="K688" i="3" l="1"/>
  <c r="AE688" i="3" s="1"/>
  <c r="I688" i="3"/>
  <c r="J688" i="3"/>
  <c r="M688" i="3"/>
  <c r="N688" i="3" s="1"/>
  <c r="F688" i="3"/>
  <c r="L688" i="3" l="1"/>
  <c r="V688" i="3"/>
  <c r="W688" i="3" s="1"/>
  <c r="A689" i="3"/>
  <c r="B689" i="3" s="1"/>
  <c r="Z689" i="3" l="1"/>
  <c r="P689" i="3"/>
  <c r="Q689" i="3" s="1"/>
  <c r="R689" i="3" s="1"/>
  <c r="S689" i="3" s="1"/>
  <c r="AC689" i="3"/>
  <c r="AA689" i="3"/>
  <c r="AD689" i="3"/>
  <c r="U688" i="3"/>
  <c r="Y687" i="3"/>
  <c r="T689" i="3" l="1"/>
  <c r="D689" i="3" s="1"/>
  <c r="AH689" i="3" l="1"/>
  <c r="E689" i="3"/>
  <c r="H689" i="3" s="1"/>
  <c r="K689" i="3" s="1"/>
  <c r="AE689" i="3" s="1"/>
  <c r="G689" i="3"/>
  <c r="AG689" i="3"/>
  <c r="F689" i="3" l="1"/>
  <c r="V689" i="3"/>
  <c r="A690" i="3"/>
  <c r="B690" i="3" s="1"/>
  <c r="I689" i="3"/>
  <c r="J689" i="3"/>
  <c r="M689" i="3"/>
  <c r="N689" i="3" s="1"/>
  <c r="L689" i="3" l="1"/>
  <c r="AA690" i="3"/>
  <c r="AC690" i="3"/>
  <c r="P690" i="3"/>
  <c r="Q690" i="3" s="1"/>
  <c r="R690" i="3" s="1"/>
  <c r="S690" i="3" s="1"/>
  <c r="AD690" i="3"/>
  <c r="Z690" i="3"/>
  <c r="W689" i="3"/>
  <c r="T690" i="3" l="1"/>
  <c r="AG690" i="3" s="1"/>
  <c r="U689" i="3"/>
  <c r="Y688" i="3"/>
  <c r="AH690" i="3" l="1"/>
  <c r="E690" i="3"/>
  <c r="H690" i="3" s="1"/>
  <c r="K690" i="3" s="1"/>
  <c r="AE690" i="3" s="1"/>
  <c r="D690" i="3"/>
  <c r="F690" i="3" l="1"/>
  <c r="G690" i="3"/>
  <c r="I690" i="3" s="1"/>
  <c r="V690" i="3"/>
  <c r="A691" i="3"/>
  <c r="B691" i="3" s="1"/>
  <c r="M690" i="3" l="1"/>
  <c r="N690" i="3" s="1"/>
  <c r="J690" i="3"/>
  <c r="L690" i="3" s="1"/>
  <c r="W690" i="3"/>
  <c r="Z691" i="3"/>
  <c r="P691" i="3"/>
  <c r="Q691" i="3" s="1"/>
  <c r="R691" i="3" s="1"/>
  <c r="S691" i="3" s="1"/>
  <c r="AC691" i="3"/>
  <c r="AA691" i="3"/>
  <c r="AD691" i="3"/>
  <c r="U690" i="3" l="1"/>
  <c r="Y689" i="3"/>
  <c r="T691" i="3"/>
  <c r="AH691" i="3" s="1"/>
  <c r="E691" i="3" l="1"/>
  <c r="H691" i="3" s="1"/>
  <c r="K691" i="3" s="1"/>
  <c r="AE691" i="3" s="1"/>
  <c r="D691" i="3"/>
  <c r="AG691" i="3"/>
  <c r="F691" i="3" l="1"/>
  <c r="G691" i="3"/>
  <c r="I691" i="3" s="1"/>
  <c r="V691" i="3"/>
  <c r="A692" i="3"/>
  <c r="B692" i="3" s="1"/>
  <c r="M691" i="3" l="1"/>
  <c r="N691" i="3" s="1"/>
  <c r="W691" i="3"/>
  <c r="J691" i="3"/>
  <c r="L691" i="3" s="1"/>
  <c r="Z692" i="3"/>
  <c r="AC692" i="3"/>
  <c r="AD692" i="3"/>
  <c r="AA692" i="3"/>
  <c r="P692" i="3"/>
  <c r="Q692" i="3" s="1"/>
  <c r="R692" i="3" s="1"/>
  <c r="S692" i="3" s="1"/>
  <c r="T692" i="3" l="1"/>
  <c r="AH692" i="3" s="1"/>
  <c r="U691" i="3"/>
  <c r="Y690" i="3"/>
  <c r="D692" i="3" l="1"/>
  <c r="G692" i="3" s="1"/>
  <c r="AG692" i="3"/>
  <c r="E692" i="3"/>
  <c r="H692" i="3" s="1"/>
  <c r="K692" i="3" s="1"/>
  <c r="AE692" i="3" s="1"/>
  <c r="F692" i="3" l="1"/>
  <c r="I692" i="3"/>
  <c r="J692" i="3"/>
  <c r="M692" i="3"/>
  <c r="N692" i="3" s="1"/>
  <c r="V692" i="3"/>
  <c r="A693" i="3"/>
  <c r="B693" i="3" s="1"/>
  <c r="W692" i="3" l="1"/>
  <c r="AC693" i="3"/>
  <c r="AA693" i="3"/>
  <c r="AD693" i="3"/>
  <c r="Z693" i="3"/>
  <c r="P693" i="3"/>
  <c r="Q693" i="3" s="1"/>
  <c r="R693" i="3" s="1"/>
  <c r="S693" i="3" s="1"/>
  <c r="L692" i="3"/>
  <c r="T693" i="3" l="1"/>
  <c r="AG693" i="3" s="1"/>
  <c r="U692" i="3"/>
  <c r="Y691" i="3"/>
  <c r="E693" i="3" l="1"/>
  <c r="H693" i="3" s="1"/>
  <c r="K693" i="3" s="1"/>
  <c r="AE693" i="3" s="1"/>
  <c r="AH693" i="3"/>
  <c r="D693" i="3"/>
  <c r="F693" i="3" l="1"/>
  <c r="G693" i="3"/>
  <c r="I693" i="3" s="1"/>
  <c r="V693" i="3"/>
  <c r="A694" i="3"/>
  <c r="B694" i="3" s="1"/>
  <c r="M693" i="3" l="1"/>
  <c r="N693" i="3" s="1"/>
  <c r="J693" i="3"/>
  <c r="L693" i="3" s="1"/>
  <c r="Z694" i="3"/>
  <c r="AA694" i="3"/>
  <c r="AC694" i="3"/>
  <c r="P694" i="3"/>
  <c r="Q694" i="3" s="1"/>
  <c r="R694" i="3" s="1"/>
  <c r="S694" i="3" s="1"/>
  <c r="W693" i="3"/>
  <c r="U693" i="3" l="1"/>
  <c r="Y692" i="3"/>
  <c r="T694" i="3"/>
  <c r="AG694" i="3" s="1"/>
  <c r="D694" i="3" l="1"/>
  <c r="E694" i="3"/>
  <c r="H694" i="3" s="1"/>
  <c r="AH694" i="3"/>
  <c r="K694" i="3" l="1"/>
  <c r="AE694" i="3" s="1"/>
  <c r="F694" i="3"/>
  <c r="G694" i="3"/>
  <c r="I694" i="3" l="1"/>
  <c r="J694" i="3"/>
  <c r="AD694" i="3" s="1"/>
  <c r="M694" i="3"/>
  <c r="N694" i="3" s="1"/>
  <c r="V694" i="3"/>
  <c r="A695" i="3"/>
  <c r="B695" i="3" s="1"/>
  <c r="W694" i="3" l="1"/>
  <c r="L694" i="3"/>
  <c r="AC695" i="3"/>
  <c r="AA695" i="3"/>
  <c r="AD695" i="3"/>
  <c r="Z695" i="3"/>
  <c r="P695" i="3"/>
  <c r="Q695" i="3" s="1"/>
  <c r="R695" i="3" s="1"/>
  <c r="S695" i="3" s="1"/>
  <c r="T695" i="3" l="1"/>
  <c r="AH695" i="3" s="1"/>
  <c r="U694" i="3"/>
  <c r="Y693" i="3"/>
  <c r="D695" i="3" l="1"/>
  <c r="G695" i="3" s="1"/>
  <c r="AG695" i="3"/>
  <c r="E695" i="3"/>
  <c r="H695" i="3" s="1"/>
  <c r="K695" i="3" s="1"/>
  <c r="AE695" i="3" s="1"/>
  <c r="F695" i="3" l="1"/>
  <c r="V695" i="3"/>
  <c r="A696" i="3"/>
  <c r="B696" i="3" s="1"/>
  <c r="I695" i="3"/>
  <c r="J695" i="3"/>
  <c r="M695" i="3"/>
  <c r="N695" i="3" s="1"/>
  <c r="L695" i="3" l="1"/>
  <c r="P696" i="3"/>
  <c r="Q696" i="3" s="1"/>
  <c r="R696" i="3" s="1"/>
  <c r="S696" i="3" s="1"/>
  <c r="AA696" i="3"/>
  <c r="AC696" i="3"/>
  <c r="AD696" i="3"/>
  <c r="Z696" i="3"/>
  <c r="W695" i="3"/>
  <c r="T696" i="3" l="1"/>
  <c r="AH696" i="3" s="1"/>
  <c r="U695" i="3"/>
  <c r="Y694" i="3"/>
  <c r="AG696" i="3" l="1"/>
  <c r="D696" i="3"/>
  <c r="G696" i="3" s="1"/>
  <c r="E696" i="3"/>
  <c r="H696" i="3" s="1"/>
  <c r="K696" i="3" s="1"/>
  <c r="AE696" i="3" s="1"/>
  <c r="F696" i="3" l="1"/>
  <c r="V696" i="3"/>
  <c r="A697" i="3"/>
  <c r="B697" i="3" s="1"/>
  <c r="I696" i="3"/>
  <c r="J696" i="3"/>
  <c r="M696" i="3"/>
  <c r="N696" i="3" s="1"/>
  <c r="AD697" i="3" l="1"/>
  <c r="AC697" i="3"/>
  <c r="P697" i="3"/>
  <c r="Q697" i="3" s="1"/>
  <c r="R697" i="3" s="1"/>
  <c r="S697" i="3" s="1"/>
  <c r="Z697" i="3"/>
  <c r="AA697" i="3"/>
  <c r="L696" i="3"/>
  <c r="W696" i="3"/>
  <c r="T697" i="3" l="1"/>
  <c r="AG697" i="3" s="1"/>
  <c r="U696" i="3"/>
  <c r="Y695" i="3"/>
  <c r="E697" i="3" l="1"/>
  <c r="H697" i="3" s="1"/>
  <c r="K697" i="3" s="1"/>
  <c r="AE697" i="3" s="1"/>
  <c r="AH697" i="3"/>
  <c r="D697" i="3"/>
  <c r="F697" i="3" l="1"/>
  <c r="G697" i="3"/>
  <c r="I697" i="3" s="1"/>
  <c r="V697" i="3"/>
  <c r="A698" i="3"/>
  <c r="B698" i="3" s="1"/>
  <c r="M697" i="3" l="1"/>
  <c r="N697" i="3" s="1"/>
  <c r="J697" i="3"/>
  <c r="L697" i="3" s="1"/>
  <c r="W697" i="3"/>
  <c r="Z698" i="3"/>
  <c r="P698" i="3"/>
  <c r="Q698" i="3" s="1"/>
  <c r="R698" i="3" s="1"/>
  <c r="S698" i="3" s="1"/>
  <c r="AD698" i="3"/>
  <c r="AC698" i="3"/>
  <c r="AA698" i="3"/>
  <c r="T698" i="3" l="1"/>
  <c r="AG698" i="3" s="1"/>
  <c r="U697" i="3"/>
  <c r="Y696" i="3"/>
  <c r="AH698" i="3" l="1"/>
  <c r="D698" i="3"/>
  <c r="G698" i="3" s="1"/>
  <c r="E698" i="3"/>
  <c r="H698" i="3" s="1"/>
  <c r="K698" i="3" s="1"/>
  <c r="AE698" i="3" s="1"/>
  <c r="F698" i="3" l="1"/>
  <c r="V698" i="3"/>
  <c r="A699" i="3"/>
  <c r="B699" i="3" s="1"/>
  <c r="I698" i="3"/>
  <c r="J698" i="3"/>
  <c r="M698" i="3"/>
  <c r="N698" i="3" s="1"/>
  <c r="Z699" i="3" l="1"/>
  <c r="P699" i="3"/>
  <c r="Q699" i="3" s="1"/>
  <c r="R699" i="3" s="1"/>
  <c r="S699" i="3" s="1"/>
  <c r="AD699" i="3"/>
  <c r="AA699" i="3"/>
  <c r="AC699" i="3"/>
  <c r="L698" i="3"/>
  <c r="W698" i="3"/>
  <c r="T699" i="3" l="1"/>
  <c r="AG699" i="3" s="1"/>
  <c r="U698" i="3"/>
  <c r="Y697" i="3"/>
  <c r="E699" i="3" l="1"/>
  <c r="H699" i="3" s="1"/>
  <c r="K699" i="3" s="1"/>
  <c r="AE699" i="3" s="1"/>
  <c r="AH699" i="3"/>
  <c r="D699" i="3"/>
  <c r="G699" i="3" s="1"/>
  <c r="F699" i="3" l="1"/>
  <c r="I699" i="3"/>
  <c r="J699" i="3"/>
  <c r="M699" i="3"/>
  <c r="N699" i="3" s="1"/>
  <c r="V699" i="3"/>
  <c r="A700" i="3"/>
  <c r="B700" i="3" s="1"/>
  <c r="W699" i="3" l="1"/>
  <c r="P700" i="3"/>
  <c r="Q700" i="3" s="1"/>
  <c r="R700" i="3" s="1"/>
  <c r="S700" i="3" s="1"/>
  <c r="AA700" i="3"/>
  <c r="AC700" i="3"/>
  <c r="AD700" i="3"/>
  <c r="Z700" i="3"/>
  <c r="L699" i="3"/>
  <c r="U699" i="3" l="1"/>
  <c r="Y698" i="3"/>
  <c r="T700" i="3"/>
  <c r="E700" i="3" l="1"/>
  <c r="H700" i="3" s="1"/>
  <c r="K700" i="3" s="1"/>
  <c r="AE700" i="3" s="1"/>
  <c r="AG700" i="3"/>
  <c r="AH700" i="3"/>
  <c r="D700" i="3"/>
  <c r="F700" i="3" l="1"/>
  <c r="G700" i="3"/>
  <c r="V700" i="3"/>
  <c r="A701" i="3"/>
  <c r="B701" i="3" s="1"/>
  <c r="I700" i="3" l="1"/>
  <c r="W700" i="3" s="1"/>
  <c r="J700" i="3"/>
  <c r="M700" i="3"/>
  <c r="N700" i="3" s="1"/>
  <c r="P701" i="3"/>
  <c r="Q701" i="3" s="1"/>
  <c r="R701" i="3" s="1"/>
  <c r="S701" i="3" s="1"/>
  <c r="AA701" i="3"/>
  <c r="AD701" i="3"/>
  <c r="AC701" i="3"/>
  <c r="Z701" i="3"/>
  <c r="L700" i="3" l="1"/>
  <c r="T701" i="3"/>
  <c r="U700" i="3" l="1"/>
  <c r="D701" i="3" s="1"/>
  <c r="AG701" i="3"/>
  <c r="AH701" i="3"/>
  <c r="Y699" i="3"/>
  <c r="E701" i="3" l="1"/>
  <c r="H701" i="3" s="1"/>
  <c r="K701" i="3" s="1"/>
  <c r="AE701" i="3" s="1"/>
  <c r="G701" i="3"/>
  <c r="F701" i="3" l="1"/>
  <c r="V701" i="3"/>
  <c r="A702" i="3"/>
  <c r="B702" i="3" s="1"/>
  <c r="I701" i="3"/>
  <c r="J701" i="3"/>
  <c r="M701" i="3"/>
  <c r="N701" i="3" s="1"/>
  <c r="L701" i="3" l="1"/>
  <c r="AC702" i="3"/>
  <c r="AD702" i="3"/>
  <c r="P702" i="3"/>
  <c r="Q702" i="3" s="1"/>
  <c r="R702" i="3" s="1"/>
  <c r="S702" i="3" s="1"/>
  <c r="Z702" i="3"/>
  <c r="AA702" i="3"/>
  <c r="W701" i="3"/>
  <c r="T702" i="3" l="1"/>
  <c r="U701" i="3"/>
  <c r="Y700" i="3"/>
  <c r="E702" i="3" l="1"/>
  <c r="H702" i="3" s="1"/>
  <c r="K702" i="3" s="1"/>
  <c r="AE702" i="3" s="1"/>
  <c r="D702" i="3"/>
  <c r="AH702" i="3"/>
  <c r="AG702" i="3"/>
  <c r="F702" i="3" l="1"/>
  <c r="G702" i="3"/>
  <c r="V702" i="3"/>
  <c r="A703" i="3"/>
  <c r="B703" i="3" s="1"/>
  <c r="AA703" i="3" l="1"/>
  <c r="Z703" i="3"/>
  <c r="P703" i="3"/>
  <c r="Q703" i="3" s="1"/>
  <c r="R703" i="3" s="1"/>
  <c r="S703" i="3" s="1"/>
  <c r="AD703" i="3"/>
  <c r="AC703" i="3"/>
  <c r="I702" i="3"/>
  <c r="W702" i="3" s="1"/>
  <c r="J702" i="3"/>
  <c r="M702" i="3"/>
  <c r="N702" i="3" s="1"/>
  <c r="T703" i="3" l="1"/>
  <c r="L702" i="3"/>
  <c r="AH703" i="3" l="1"/>
  <c r="U702" i="3"/>
  <c r="E703" i="3" s="1"/>
  <c r="H703" i="3" s="1"/>
  <c r="AG703" i="3"/>
  <c r="Y701" i="3"/>
  <c r="D703" i="3" l="1"/>
  <c r="F703" i="3" s="1"/>
  <c r="K703" i="3"/>
  <c r="AE703" i="3" s="1"/>
  <c r="G703" i="3" l="1"/>
  <c r="I703" i="3" s="1"/>
  <c r="V703" i="3"/>
  <c r="A704" i="3"/>
  <c r="B704" i="3" s="1"/>
  <c r="M703" i="3" l="1"/>
  <c r="N703" i="3" s="1"/>
  <c r="W703" i="3"/>
  <c r="J703" i="3"/>
  <c r="L703" i="3" s="1"/>
  <c r="Z704" i="3"/>
  <c r="AA704" i="3"/>
  <c r="P704" i="3"/>
  <c r="Q704" i="3" s="1"/>
  <c r="R704" i="3" s="1"/>
  <c r="S704" i="3" s="1"/>
  <c r="AC704" i="3"/>
  <c r="T704" i="3" l="1"/>
  <c r="AG704" i="3" s="1"/>
  <c r="U703" i="3"/>
  <c r="Y702" i="3"/>
  <c r="AH704" i="3" l="1"/>
  <c r="E704" i="3"/>
  <c r="H704" i="3" s="1"/>
  <c r="K704" i="3" s="1"/>
  <c r="AE704" i="3" s="1"/>
  <c r="D704" i="3"/>
  <c r="G704" i="3" s="1"/>
  <c r="F704" i="3" l="1"/>
  <c r="V704" i="3"/>
  <c r="A705" i="3"/>
  <c r="B705" i="3" s="1"/>
  <c r="I704" i="3"/>
  <c r="J704" i="3"/>
  <c r="AD704" i="3" s="1"/>
  <c r="M704" i="3"/>
  <c r="N704" i="3" s="1"/>
  <c r="AC705" i="3" l="1"/>
  <c r="P705" i="3"/>
  <c r="Q705" i="3" s="1"/>
  <c r="R705" i="3" s="1"/>
  <c r="S705" i="3" s="1"/>
  <c r="AA705" i="3"/>
  <c r="AD705" i="3"/>
  <c r="Z705" i="3"/>
  <c r="L704" i="3"/>
  <c r="W704" i="3"/>
  <c r="U704" i="3" l="1"/>
  <c r="Y703" i="3"/>
  <c r="T705" i="3"/>
  <c r="AH705" i="3" s="1"/>
  <c r="E705" i="3" l="1"/>
  <c r="H705" i="3" s="1"/>
  <c r="AG705" i="3"/>
  <c r="D705" i="3"/>
  <c r="F705" i="3" l="1"/>
  <c r="G705" i="3"/>
  <c r="K705" i="3"/>
  <c r="AE705" i="3" s="1"/>
  <c r="V705" i="3" l="1"/>
  <c r="A706" i="3"/>
  <c r="B706" i="3" s="1"/>
  <c r="I705" i="3"/>
  <c r="J705" i="3"/>
  <c r="M705" i="3"/>
  <c r="N705" i="3" s="1"/>
  <c r="Z706" i="3" l="1"/>
  <c r="AD706" i="3"/>
  <c r="P706" i="3"/>
  <c r="Q706" i="3" s="1"/>
  <c r="R706" i="3" s="1"/>
  <c r="S706" i="3" s="1"/>
  <c r="AA706" i="3"/>
  <c r="AC706" i="3"/>
  <c r="L705" i="3"/>
  <c r="W705" i="3"/>
  <c r="T706" i="3" l="1"/>
  <c r="U705" i="3"/>
  <c r="Y704" i="3"/>
  <c r="E706" i="3" l="1"/>
  <c r="H706" i="3" s="1"/>
  <c r="K706" i="3" s="1"/>
  <c r="AE706" i="3" s="1"/>
  <c r="AH706" i="3"/>
  <c r="D706" i="3"/>
  <c r="AG706" i="3"/>
  <c r="F706" i="3" l="1"/>
  <c r="G706" i="3"/>
  <c r="I706" i="3" s="1"/>
  <c r="V706" i="3"/>
  <c r="A707" i="3"/>
  <c r="B707" i="3" s="1"/>
  <c r="M706" i="3" l="1"/>
  <c r="N706" i="3" s="1"/>
  <c r="J706" i="3"/>
  <c r="L706" i="3" s="1"/>
  <c r="W706" i="3"/>
  <c r="AC707" i="3"/>
  <c r="P707" i="3"/>
  <c r="Q707" i="3" s="1"/>
  <c r="R707" i="3" s="1"/>
  <c r="S707" i="3" s="1"/>
  <c r="Z707" i="3"/>
  <c r="AA707" i="3"/>
  <c r="AD707" i="3"/>
  <c r="T707" i="3" l="1"/>
  <c r="AG707" i="3" s="1"/>
  <c r="U706" i="3"/>
  <c r="Y705" i="3"/>
  <c r="E707" i="3" l="1"/>
  <c r="H707" i="3" s="1"/>
  <c r="K707" i="3" s="1"/>
  <c r="AE707" i="3" s="1"/>
  <c r="D707" i="3"/>
  <c r="AH707" i="3"/>
  <c r="F707" i="3" l="1"/>
  <c r="G707" i="3"/>
  <c r="I707" i="3" s="1"/>
  <c r="V707" i="3"/>
  <c r="A708" i="3"/>
  <c r="B708" i="3" s="1"/>
  <c r="W707" i="3" l="1"/>
  <c r="M707" i="3"/>
  <c r="N707" i="3" s="1"/>
  <c r="J707" i="3"/>
  <c r="L707" i="3" s="1"/>
  <c r="AC708" i="3"/>
  <c r="P708" i="3"/>
  <c r="Q708" i="3" s="1"/>
  <c r="R708" i="3" s="1"/>
  <c r="S708" i="3" s="1"/>
  <c r="AD708" i="3"/>
  <c r="Z708" i="3"/>
  <c r="AA708" i="3"/>
  <c r="T708" i="3" l="1"/>
  <c r="AG708" i="3" s="1"/>
  <c r="U707" i="3"/>
  <c r="Y706" i="3"/>
  <c r="D708" i="3" l="1"/>
  <c r="G708" i="3" s="1"/>
  <c r="E708" i="3"/>
  <c r="H708" i="3" s="1"/>
  <c r="K708" i="3" s="1"/>
  <c r="AE708" i="3" s="1"/>
  <c r="AH708" i="3"/>
  <c r="F708" i="3" l="1"/>
  <c r="I708" i="3"/>
  <c r="J708" i="3"/>
  <c r="M708" i="3"/>
  <c r="N708" i="3" s="1"/>
  <c r="V708" i="3"/>
  <c r="A709" i="3"/>
  <c r="B709" i="3" s="1"/>
  <c r="W708" i="3" l="1"/>
  <c r="AC709" i="3"/>
  <c r="P709" i="3"/>
  <c r="Q709" i="3" s="1"/>
  <c r="R709" i="3" s="1"/>
  <c r="S709" i="3" s="1"/>
  <c r="AD709" i="3"/>
  <c r="AA709" i="3"/>
  <c r="Z709" i="3"/>
  <c r="L708" i="3"/>
  <c r="T709" i="3" l="1"/>
  <c r="AG709" i="3" s="1"/>
  <c r="U708" i="3"/>
  <c r="Y707" i="3"/>
  <c r="AH709" i="3" l="1"/>
  <c r="E709" i="3"/>
  <c r="H709" i="3" s="1"/>
  <c r="K709" i="3" s="1"/>
  <c r="AE709" i="3" s="1"/>
  <c r="D709" i="3"/>
  <c r="F709" i="3" l="1"/>
  <c r="G709" i="3"/>
  <c r="I709" i="3" s="1"/>
  <c r="V709" i="3"/>
  <c r="A710" i="3"/>
  <c r="B710" i="3" s="1"/>
  <c r="M709" i="3" l="1"/>
  <c r="N709" i="3" s="1"/>
  <c r="J709" i="3"/>
  <c r="L709" i="3" s="1"/>
  <c r="Z710" i="3"/>
  <c r="AC710" i="3"/>
  <c r="AD710" i="3"/>
  <c r="P710" i="3"/>
  <c r="Q710" i="3" s="1"/>
  <c r="R710" i="3" s="1"/>
  <c r="S710" i="3" s="1"/>
  <c r="AA710" i="3"/>
  <c r="W709" i="3"/>
  <c r="U709" i="3" l="1"/>
  <c r="Y708" i="3"/>
  <c r="T710" i="3"/>
  <c r="AH710" i="3" s="1"/>
  <c r="AG710" i="3" l="1"/>
  <c r="E710" i="3"/>
  <c r="H710" i="3" s="1"/>
  <c r="D710" i="3"/>
  <c r="F710" i="3" l="1"/>
  <c r="G710" i="3"/>
  <c r="K710" i="3"/>
  <c r="AE710" i="3" s="1"/>
  <c r="V710" i="3" l="1"/>
  <c r="A711" i="3"/>
  <c r="B711" i="3" s="1"/>
  <c r="I710" i="3"/>
  <c r="J710" i="3"/>
  <c r="M710" i="3"/>
  <c r="N710" i="3" s="1"/>
  <c r="L710" i="3" l="1"/>
  <c r="AA711" i="3"/>
  <c r="AC711" i="3"/>
  <c r="Z711" i="3"/>
  <c r="P711" i="3"/>
  <c r="Q711" i="3" s="1"/>
  <c r="R711" i="3" s="1"/>
  <c r="S711" i="3" s="1"/>
  <c r="AD711" i="3"/>
  <c r="W710" i="3"/>
  <c r="T711" i="3" l="1"/>
  <c r="AH711" i="3" s="1"/>
  <c r="U710" i="3"/>
  <c r="Y709" i="3"/>
  <c r="E711" i="3" l="1"/>
  <c r="H711" i="3" s="1"/>
  <c r="K711" i="3" s="1"/>
  <c r="AE711" i="3" s="1"/>
  <c r="AG711" i="3"/>
  <c r="D711" i="3"/>
  <c r="V711" i="3" l="1"/>
  <c r="A712" i="3"/>
  <c r="B712" i="3" s="1"/>
  <c r="F711" i="3"/>
  <c r="G711" i="3"/>
  <c r="I711" i="3" l="1"/>
  <c r="W711" i="3" s="1"/>
  <c r="J711" i="3"/>
  <c r="M711" i="3"/>
  <c r="N711" i="3" s="1"/>
  <c r="AA712" i="3"/>
  <c r="Z712" i="3"/>
  <c r="P712" i="3"/>
  <c r="Q712" i="3" s="1"/>
  <c r="R712" i="3" s="1"/>
  <c r="S712" i="3" s="1"/>
  <c r="AD712" i="3"/>
  <c r="AC712" i="3"/>
  <c r="T712" i="3" l="1"/>
  <c r="L711" i="3"/>
  <c r="AH712" i="3" l="1"/>
  <c r="U711" i="3"/>
  <c r="D712" i="3" s="1"/>
  <c r="AG712" i="3"/>
  <c r="Y710" i="3"/>
  <c r="E712" i="3" l="1"/>
  <c r="H712" i="3" s="1"/>
  <c r="K712" i="3" s="1"/>
  <c r="AE712" i="3" s="1"/>
  <c r="G712" i="3"/>
  <c r="F712" i="3" l="1"/>
  <c r="V712" i="3"/>
  <c r="A713" i="3"/>
  <c r="B713" i="3" s="1"/>
  <c r="I712" i="3"/>
  <c r="J712" i="3"/>
  <c r="M712" i="3"/>
  <c r="N712" i="3" s="1"/>
  <c r="L712" i="3" l="1"/>
  <c r="Z713" i="3"/>
  <c r="P713" i="3"/>
  <c r="Q713" i="3" s="1"/>
  <c r="R713" i="3" s="1"/>
  <c r="S713" i="3" s="1"/>
  <c r="AD713" i="3"/>
  <c r="AC713" i="3"/>
  <c r="AA713" i="3"/>
  <c r="W712" i="3"/>
  <c r="U712" i="3" l="1"/>
  <c r="Y711" i="3"/>
  <c r="T713" i="3"/>
  <c r="E713" i="3" l="1"/>
  <c r="H713" i="3" s="1"/>
  <c r="K713" i="3" s="1"/>
  <c r="AE713" i="3" s="1"/>
  <c r="AH713" i="3"/>
  <c r="D713" i="3"/>
  <c r="AG713" i="3"/>
  <c r="F713" i="3" l="1"/>
  <c r="G713" i="3"/>
  <c r="I713" i="3" s="1"/>
  <c r="V713" i="3"/>
  <c r="A714" i="3"/>
  <c r="B714" i="3" s="1"/>
  <c r="M713" i="3" l="1"/>
  <c r="N713" i="3" s="1"/>
  <c r="J713" i="3"/>
  <c r="L713" i="3" s="1"/>
  <c r="Z714" i="3"/>
  <c r="AC714" i="3"/>
  <c r="P714" i="3"/>
  <c r="Q714" i="3" s="1"/>
  <c r="R714" i="3" s="1"/>
  <c r="S714" i="3" s="1"/>
  <c r="AA714" i="3"/>
  <c r="W713" i="3"/>
  <c r="T714" i="3" l="1"/>
  <c r="AG714" i="3" s="1"/>
  <c r="U713" i="3"/>
  <c r="Y712" i="3"/>
  <c r="AH714" i="3" l="1"/>
  <c r="D714" i="3"/>
  <c r="G714" i="3" s="1"/>
  <c r="E714" i="3"/>
  <c r="H714" i="3" s="1"/>
  <c r="K714" i="3" s="1"/>
  <c r="AE714" i="3" s="1"/>
  <c r="F714" i="3" l="1"/>
  <c r="V714" i="3"/>
  <c r="A715" i="3"/>
  <c r="B715" i="3" s="1"/>
  <c r="I714" i="3"/>
  <c r="J714" i="3"/>
  <c r="AD714" i="3" s="1"/>
  <c r="M714" i="3"/>
  <c r="N714" i="3" s="1"/>
  <c r="L714" i="3" l="1"/>
  <c r="AC715" i="3"/>
  <c r="P715" i="3"/>
  <c r="Q715" i="3" s="1"/>
  <c r="R715" i="3" s="1"/>
  <c r="S715" i="3" s="1"/>
  <c r="AA715" i="3"/>
  <c r="Z715" i="3"/>
  <c r="AD715" i="3"/>
  <c r="W714" i="3"/>
  <c r="U714" i="3" l="1"/>
  <c r="Y713" i="3"/>
  <c r="T715" i="3"/>
  <c r="AH715" i="3" s="1"/>
  <c r="E715" i="3" l="1"/>
  <c r="H715" i="3" s="1"/>
  <c r="AG715" i="3"/>
  <c r="D715" i="3"/>
  <c r="F715" i="3" l="1"/>
  <c r="G715" i="3"/>
  <c r="K715" i="3"/>
  <c r="AE715" i="3" s="1"/>
  <c r="V715" i="3" l="1"/>
  <c r="A716" i="3"/>
  <c r="B716" i="3" s="1"/>
  <c r="I715" i="3"/>
  <c r="J715" i="3"/>
  <c r="M715" i="3"/>
  <c r="N715" i="3" s="1"/>
  <c r="L715" i="3" l="1"/>
  <c r="Z716" i="3"/>
  <c r="P716" i="3"/>
  <c r="Q716" i="3" s="1"/>
  <c r="R716" i="3" s="1"/>
  <c r="S716" i="3" s="1"/>
  <c r="AD716" i="3"/>
  <c r="AC716" i="3"/>
  <c r="AA716" i="3"/>
  <c r="W715" i="3"/>
  <c r="T716" i="3" l="1"/>
  <c r="AG716" i="3" s="1"/>
  <c r="U715" i="3"/>
  <c r="Y714" i="3"/>
  <c r="AH716" i="3" l="1"/>
  <c r="E716" i="3"/>
  <c r="H716" i="3" s="1"/>
  <c r="K716" i="3" s="1"/>
  <c r="AE716" i="3" s="1"/>
  <c r="D716" i="3"/>
  <c r="F716" i="3" l="1"/>
  <c r="G716" i="3"/>
  <c r="I716" i="3" s="1"/>
  <c r="V716" i="3"/>
  <c r="A717" i="3"/>
  <c r="B717" i="3" s="1"/>
  <c r="M716" i="3" l="1"/>
  <c r="N716" i="3" s="1"/>
  <c r="J716" i="3"/>
  <c r="L716" i="3" s="1"/>
  <c r="W716" i="3"/>
  <c r="AC717" i="3"/>
  <c r="P717" i="3"/>
  <c r="Q717" i="3" s="1"/>
  <c r="R717" i="3" s="1"/>
  <c r="S717" i="3" s="1"/>
  <c r="Z717" i="3"/>
  <c r="AD717" i="3"/>
  <c r="AA717" i="3"/>
  <c r="T717" i="3" l="1"/>
  <c r="AG717" i="3" s="1"/>
  <c r="U716" i="3"/>
  <c r="Y715" i="3"/>
  <c r="AH717" i="3" l="1"/>
  <c r="D717" i="3"/>
  <c r="G717" i="3" s="1"/>
  <c r="E717" i="3"/>
  <c r="H717" i="3" s="1"/>
  <c r="K717" i="3" s="1"/>
  <c r="AE717" i="3" s="1"/>
  <c r="F717" i="3" l="1"/>
  <c r="V717" i="3"/>
  <c r="A718" i="3"/>
  <c r="B718" i="3" s="1"/>
  <c r="I717" i="3"/>
  <c r="J717" i="3"/>
  <c r="M717" i="3"/>
  <c r="N717" i="3" s="1"/>
  <c r="L717" i="3" l="1"/>
  <c r="P718" i="3"/>
  <c r="Q718" i="3" s="1"/>
  <c r="R718" i="3" s="1"/>
  <c r="S718" i="3" s="1"/>
  <c r="AA718" i="3"/>
  <c r="AD718" i="3"/>
  <c r="AC718" i="3"/>
  <c r="Z718" i="3"/>
  <c r="W717" i="3"/>
  <c r="T718" i="3" l="1"/>
  <c r="AG718" i="3" s="1"/>
  <c r="U717" i="3"/>
  <c r="Y716" i="3"/>
  <c r="AH718" i="3" l="1"/>
  <c r="D718" i="3"/>
  <c r="G718" i="3" s="1"/>
  <c r="E718" i="3"/>
  <c r="H718" i="3" s="1"/>
  <c r="K718" i="3" s="1"/>
  <c r="AE718" i="3" s="1"/>
  <c r="F718" i="3" l="1"/>
  <c r="V718" i="3"/>
  <c r="A719" i="3"/>
  <c r="B719" i="3" s="1"/>
  <c r="I718" i="3"/>
  <c r="J718" i="3"/>
  <c r="M718" i="3"/>
  <c r="N718" i="3" s="1"/>
  <c r="L718" i="3" l="1"/>
  <c r="AA719" i="3"/>
  <c r="AC719" i="3"/>
  <c r="P719" i="3"/>
  <c r="Q719" i="3" s="1"/>
  <c r="R719" i="3" s="1"/>
  <c r="S719" i="3" s="1"/>
  <c r="Z719" i="3"/>
  <c r="AD719" i="3"/>
  <c r="W718" i="3"/>
  <c r="T719" i="3" l="1"/>
  <c r="AH719" i="3" s="1"/>
  <c r="U718" i="3"/>
  <c r="Y717" i="3"/>
  <c r="D719" i="3" l="1"/>
  <c r="G719" i="3" s="1"/>
  <c r="AG719" i="3"/>
  <c r="E719" i="3"/>
  <c r="H719" i="3" s="1"/>
  <c r="K719" i="3" s="1"/>
  <c r="AE719" i="3" s="1"/>
  <c r="F719" i="3" l="1"/>
  <c r="V719" i="3"/>
  <c r="A720" i="3"/>
  <c r="B720" i="3" s="1"/>
  <c r="I719" i="3"/>
  <c r="J719" i="3"/>
  <c r="M719" i="3"/>
  <c r="N719" i="3" s="1"/>
  <c r="L719" i="3" l="1"/>
  <c r="AD720" i="3"/>
  <c r="P720" i="3"/>
  <c r="Q720" i="3" s="1"/>
  <c r="R720" i="3" s="1"/>
  <c r="S720" i="3" s="1"/>
  <c r="AC720" i="3"/>
  <c r="AA720" i="3"/>
  <c r="Z720" i="3"/>
  <c r="W719" i="3"/>
  <c r="U719" i="3" l="1"/>
  <c r="Y718" i="3"/>
  <c r="T720" i="3"/>
  <c r="E720" i="3" l="1"/>
  <c r="H720" i="3" s="1"/>
  <c r="K720" i="3" s="1"/>
  <c r="AE720" i="3" s="1"/>
  <c r="D720" i="3"/>
  <c r="AG720" i="3"/>
  <c r="AH720" i="3"/>
  <c r="F720" i="3" l="1"/>
  <c r="G720" i="3"/>
  <c r="V720" i="3"/>
  <c r="A721" i="3"/>
  <c r="B721" i="3" s="1"/>
  <c r="AD721" i="3" l="1"/>
  <c r="AC721" i="3"/>
  <c r="P721" i="3"/>
  <c r="Q721" i="3" s="1"/>
  <c r="R721" i="3" s="1"/>
  <c r="S721" i="3" s="1"/>
  <c r="Z721" i="3"/>
  <c r="AA721" i="3"/>
  <c r="I720" i="3"/>
  <c r="W720" i="3" s="1"/>
  <c r="J720" i="3"/>
  <c r="M720" i="3"/>
  <c r="N720" i="3" s="1"/>
  <c r="L720" i="3" l="1"/>
  <c r="T721" i="3"/>
  <c r="AG721" i="3" l="1"/>
  <c r="U720" i="3"/>
  <c r="D721" i="3" s="1"/>
  <c r="AH721" i="3"/>
  <c r="Y719" i="3"/>
  <c r="E721" i="3" l="1"/>
  <c r="H721" i="3" s="1"/>
  <c r="K721" i="3" s="1"/>
  <c r="AE721" i="3" s="1"/>
  <c r="G721" i="3"/>
  <c r="F721" i="3" l="1"/>
  <c r="I721" i="3"/>
  <c r="J721" i="3"/>
  <c r="M721" i="3"/>
  <c r="N721" i="3" s="1"/>
  <c r="V721" i="3"/>
  <c r="W721" i="3" s="1"/>
  <c r="A722" i="3"/>
  <c r="B722" i="3" s="1"/>
  <c r="P722" i="3" l="1"/>
  <c r="Q722" i="3" s="1"/>
  <c r="R722" i="3" s="1"/>
  <c r="S722" i="3" s="1"/>
  <c r="AC722" i="3"/>
  <c r="Z722" i="3"/>
  <c r="AD722" i="3"/>
  <c r="AA722" i="3"/>
  <c r="L721" i="3"/>
  <c r="U721" i="3" l="1"/>
  <c r="Y720" i="3"/>
  <c r="T722" i="3"/>
  <c r="AG722" i="3" s="1"/>
  <c r="E722" i="3" l="1"/>
  <c r="H722" i="3" s="1"/>
  <c r="K722" i="3" s="1"/>
  <c r="AE722" i="3" s="1"/>
  <c r="AH722" i="3"/>
  <c r="D722" i="3"/>
  <c r="F722" i="3" l="1"/>
  <c r="G722" i="3"/>
  <c r="V722" i="3"/>
  <c r="A723" i="3"/>
  <c r="B723" i="3" s="1"/>
  <c r="AC723" i="3" l="1"/>
  <c r="P723" i="3"/>
  <c r="Q723" i="3" s="1"/>
  <c r="R723" i="3" s="1"/>
  <c r="S723" i="3" s="1"/>
  <c r="AA723" i="3"/>
  <c r="AD723" i="3"/>
  <c r="Z723" i="3"/>
  <c r="I722" i="3"/>
  <c r="W722" i="3" s="1"/>
  <c r="J722" i="3"/>
  <c r="M722" i="3"/>
  <c r="N722" i="3" s="1"/>
  <c r="L722" i="3" l="1"/>
  <c r="T723" i="3"/>
  <c r="U722" i="3" l="1"/>
  <c r="D723" i="3" s="1"/>
  <c r="AG723" i="3"/>
  <c r="AH723" i="3"/>
  <c r="Y721" i="3"/>
  <c r="E723" i="3" l="1"/>
  <c r="H723" i="3" s="1"/>
  <c r="K723" i="3" s="1"/>
  <c r="AE723" i="3" s="1"/>
  <c r="G723" i="3"/>
  <c r="F723" i="3" l="1"/>
  <c r="V723" i="3"/>
  <c r="A724" i="3"/>
  <c r="B724" i="3" s="1"/>
  <c r="I723" i="3"/>
  <c r="J723" i="3"/>
  <c r="M723" i="3"/>
  <c r="N723" i="3" s="1"/>
  <c r="L723" i="3" l="1"/>
  <c r="AA724" i="3"/>
  <c r="P724" i="3"/>
  <c r="Q724" i="3" s="1"/>
  <c r="R724" i="3" s="1"/>
  <c r="S724" i="3" s="1"/>
  <c r="Z724" i="3"/>
  <c r="AC724" i="3"/>
  <c r="W723" i="3"/>
  <c r="T724" i="3" l="1"/>
  <c r="AH724" i="3" s="1"/>
  <c r="U723" i="3"/>
  <c r="Y722" i="3"/>
  <c r="D724" i="3" l="1"/>
  <c r="G724" i="3" s="1"/>
  <c r="AG724" i="3"/>
  <c r="E724" i="3"/>
  <c r="H724" i="3" s="1"/>
  <c r="K724" i="3" s="1"/>
  <c r="AE724" i="3" s="1"/>
  <c r="F724" i="3" l="1"/>
  <c r="V724" i="3"/>
  <c r="A725" i="3"/>
  <c r="B725" i="3" s="1"/>
  <c r="I724" i="3"/>
  <c r="J724" i="3"/>
  <c r="AD724" i="3" s="1"/>
  <c r="M724" i="3"/>
  <c r="N724" i="3" s="1"/>
  <c r="AA725" i="3" l="1"/>
  <c r="AD725" i="3"/>
  <c r="AC725" i="3"/>
  <c r="P725" i="3"/>
  <c r="Q725" i="3" s="1"/>
  <c r="R725" i="3" s="1"/>
  <c r="S725" i="3" s="1"/>
  <c r="Z725" i="3"/>
  <c r="L724" i="3"/>
  <c r="W724" i="3"/>
  <c r="T725" i="3" l="1"/>
  <c r="AG725" i="3" s="1"/>
  <c r="U724" i="3"/>
  <c r="Y723" i="3"/>
  <c r="AH725" i="3" l="1"/>
  <c r="D725" i="3"/>
  <c r="G725" i="3" s="1"/>
  <c r="E725" i="3"/>
  <c r="H725" i="3" s="1"/>
  <c r="K725" i="3" s="1"/>
  <c r="AE725" i="3" s="1"/>
  <c r="F725" i="3" l="1"/>
  <c r="V725" i="3"/>
  <c r="A726" i="3"/>
  <c r="B726" i="3" s="1"/>
  <c r="I725" i="3"/>
  <c r="J725" i="3"/>
  <c r="M725" i="3"/>
  <c r="N725" i="3" s="1"/>
  <c r="L725" i="3" l="1"/>
  <c r="P726" i="3"/>
  <c r="Q726" i="3" s="1"/>
  <c r="R726" i="3" s="1"/>
  <c r="S726" i="3" s="1"/>
  <c r="AD726" i="3"/>
  <c r="AC726" i="3"/>
  <c r="AA726" i="3"/>
  <c r="Z726" i="3"/>
  <c r="W725" i="3"/>
  <c r="T726" i="3" l="1"/>
  <c r="AH726" i="3" s="1"/>
  <c r="U725" i="3"/>
  <c r="Y724" i="3"/>
  <c r="D726" i="3" l="1"/>
  <c r="G726" i="3" s="1"/>
  <c r="AG726" i="3"/>
  <c r="E726" i="3"/>
  <c r="H726" i="3" s="1"/>
  <c r="K726" i="3" s="1"/>
  <c r="AE726" i="3" s="1"/>
  <c r="F726" i="3" l="1"/>
  <c r="V726" i="3"/>
  <c r="A727" i="3"/>
  <c r="B727" i="3" s="1"/>
  <c r="I726" i="3"/>
  <c r="J726" i="3"/>
  <c r="M726" i="3"/>
  <c r="N726" i="3" s="1"/>
  <c r="L726" i="3" l="1"/>
  <c r="Z727" i="3"/>
  <c r="AA727" i="3"/>
  <c r="AC727" i="3"/>
  <c r="AD727" i="3"/>
  <c r="P727" i="3"/>
  <c r="Q727" i="3" s="1"/>
  <c r="R727" i="3" s="1"/>
  <c r="S727" i="3" s="1"/>
  <c r="W726" i="3"/>
  <c r="U726" i="3" l="1"/>
  <c r="Y725" i="3"/>
  <c r="T727" i="3"/>
  <c r="E727" i="3" l="1"/>
  <c r="H727" i="3" s="1"/>
  <c r="K727" i="3" s="1"/>
  <c r="AE727" i="3" s="1"/>
  <c r="AH727" i="3"/>
  <c r="AG727" i="3"/>
  <c r="D727" i="3"/>
  <c r="F727" i="3" l="1"/>
  <c r="G727" i="3"/>
  <c r="J727" i="3" s="1"/>
  <c r="V727" i="3"/>
  <c r="A728" i="3"/>
  <c r="B728" i="3" s="1"/>
  <c r="I727" i="3" l="1"/>
  <c r="W727" i="3" s="1"/>
  <c r="M727" i="3"/>
  <c r="N727" i="3" s="1"/>
  <c r="L727" i="3"/>
  <c r="AA728" i="3"/>
  <c r="AC728" i="3"/>
  <c r="Z728" i="3"/>
  <c r="AD728" i="3"/>
  <c r="P728" i="3"/>
  <c r="Q728" i="3" s="1"/>
  <c r="R728" i="3" s="1"/>
  <c r="S728" i="3" s="1"/>
  <c r="T728" i="3" l="1"/>
  <c r="U727" i="3"/>
  <c r="Y726" i="3"/>
  <c r="D728" i="3" l="1"/>
  <c r="G728" i="3" s="1"/>
  <c r="AG728" i="3"/>
  <c r="AH728" i="3"/>
  <c r="E728" i="3"/>
  <c r="H728" i="3" s="1"/>
  <c r="K728" i="3" s="1"/>
  <c r="AE728" i="3" s="1"/>
  <c r="F728" i="3" l="1"/>
  <c r="V728" i="3"/>
  <c r="A729" i="3"/>
  <c r="B729" i="3" s="1"/>
  <c r="I728" i="3"/>
  <c r="J728" i="3"/>
  <c r="M728" i="3"/>
  <c r="N728" i="3" s="1"/>
  <c r="AA729" i="3" l="1"/>
  <c r="P729" i="3"/>
  <c r="Q729" i="3" s="1"/>
  <c r="R729" i="3" s="1"/>
  <c r="S729" i="3" s="1"/>
  <c r="Z729" i="3"/>
  <c r="AD729" i="3"/>
  <c r="AC729" i="3"/>
  <c r="L728" i="3"/>
  <c r="W728" i="3"/>
  <c r="T729" i="3" l="1"/>
  <c r="AG729" i="3" s="1"/>
  <c r="U728" i="3"/>
  <c r="Y727" i="3"/>
  <c r="AH729" i="3" l="1"/>
  <c r="D729" i="3"/>
  <c r="G729" i="3" s="1"/>
  <c r="E729" i="3"/>
  <c r="H729" i="3" s="1"/>
  <c r="K729" i="3" s="1"/>
  <c r="AE729" i="3" s="1"/>
  <c r="F729" i="3" l="1"/>
  <c r="V729" i="3"/>
  <c r="A730" i="3"/>
  <c r="B730" i="3" s="1"/>
  <c r="I729" i="3"/>
  <c r="J729" i="3"/>
  <c r="M729" i="3"/>
  <c r="N729" i="3" s="1"/>
  <c r="L729" i="3" l="1"/>
  <c r="Z730" i="3"/>
  <c r="AD730" i="3"/>
  <c r="P730" i="3"/>
  <c r="Q730" i="3" s="1"/>
  <c r="R730" i="3" s="1"/>
  <c r="S730" i="3" s="1"/>
  <c r="AA730" i="3"/>
  <c r="AC730" i="3"/>
  <c r="W729" i="3"/>
  <c r="T730" i="3" l="1"/>
  <c r="AH730" i="3" s="1"/>
  <c r="U729" i="3"/>
  <c r="Y728" i="3"/>
  <c r="D730" i="3" l="1"/>
  <c r="G730" i="3" s="1"/>
  <c r="AG730" i="3"/>
  <c r="E730" i="3"/>
  <c r="H730" i="3" s="1"/>
  <c r="K730" i="3" s="1"/>
  <c r="AE730" i="3" s="1"/>
  <c r="F730" i="3" l="1"/>
  <c r="V730" i="3"/>
  <c r="A731" i="3"/>
  <c r="B731" i="3" s="1"/>
  <c r="I730" i="3"/>
  <c r="J730" i="3"/>
  <c r="M730" i="3"/>
  <c r="N730" i="3" s="1"/>
  <c r="P731" i="3" l="1"/>
  <c r="Q731" i="3" s="1"/>
  <c r="R731" i="3" s="1"/>
  <c r="S731" i="3" s="1"/>
  <c r="AC731" i="3"/>
  <c r="AD731" i="3"/>
  <c r="AA731" i="3"/>
  <c r="Z731" i="3"/>
  <c r="L730" i="3"/>
  <c r="W730" i="3"/>
  <c r="U730" i="3" l="1"/>
  <c r="Y729" i="3"/>
  <c r="T731" i="3"/>
  <c r="D731" i="3" l="1"/>
  <c r="G731" i="3" s="1"/>
  <c r="AH731" i="3"/>
  <c r="E731" i="3"/>
  <c r="H731" i="3" s="1"/>
  <c r="AG731" i="3"/>
  <c r="K731" i="3" l="1"/>
  <c r="AE731" i="3" s="1"/>
  <c r="I731" i="3"/>
  <c r="J731" i="3"/>
  <c r="M731" i="3"/>
  <c r="N731" i="3" s="1"/>
  <c r="F731" i="3"/>
  <c r="L731" i="3" l="1"/>
  <c r="V731" i="3"/>
  <c r="W731" i="3" s="1"/>
  <c r="A732" i="3"/>
  <c r="B732" i="3" s="1"/>
  <c r="AC732" i="3" l="1"/>
  <c r="AA732" i="3"/>
  <c r="P732" i="3"/>
  <c r="Q732" i="3" s="1"/>
  <c r="R732" i="3" s="1"/>
  <c r="S732" i="3" s="1"/>
  <c r="AD732" i="3"/>
  <c r="Z732" i="3"/>
  <c r="U731" i="3"/>
  <c r="Y730" i="3"/>
  <c r="T732" i="3" l="1"/>
  <c r="AH732" i="3" s="1"/>
  <c r="E732" i="3" l="1"/>
  <c r="H732" i="3" s="1"/>
  <c r="K732" i="3" s="1"/>
  <c r="AE732" i="3" s="1"/>
  <c r="D732" i="3"/>
  <c r="AG732" i="3"/>
  <c r="F732" i="3" l="1"/>
  <c r="G732" i="3"/>
  <c r="I732" i="3" s="1"/>
  <c r="V732" i="3"/>
  <c r="A733" i="3"/>
  <c r="B733" i="3" s="1"/>
  <c r="J732" i="3" l="1"/>
  <c r="L732" i="3" s="1"/>
  <c r="M732" i="3"/>
  <c r="N732" i="3" s="1"/>
  <c r="W732" i="3"/>
  <c r="P733" i="3"/>
  <c r="Q733" i="3" s="1"/>
  <c r="R733" i="3" s="1"/>
  <c r="S733" i="3" s="1"/>
  <c r="AC733" i="3"/>
  <c r="AD733" i="3"/>
  <c r="AA733" i="3"/>
  <c r="Z733" i="3"/>
  <c r="T733" i="3" l="1"/>
  <c r="AH733" i="3" s="1"/>
  <c r="U732" i="3"/>
  <c r="Y731" i="3"/>
  <c r="E733" i="3" l="1"/>
  <c r="H733" i="3" s="1"/>
  <c r="K733" i="3" s="1"/>
  <c r="AE733" i="3" s="1"/>
  <c r="AG733" i="3"/>
  <c r="D733" i="3"/>
  <c r="F733" i="3" l="1"/>
  <c r="G733" i="3"/>
  <c r="M733" i="3" s="1"/>
  <c r="N733" i="3" s="1"/>
  <c r="V733" i="3"/>
  <c r="A734" i="3"/>
  <c r="B734" i="3" s="1"/>
  <c r="J733" i="3" l="1"/>
  <c r="L733" i="3" s="1"/>
  <c r="I733" i="3"/>
  <c r="W733" i="3" s="1"/>
  <c r="AC734" i="3"/>
  <c r="Z734" i="3"/>
  <c r="P734" i="3"/>
  <c r="Q734" i="3" s="1"/>
  <c r="R734" i="3" s="1"/>
  <c r="S734" i="3" s="1"/>
  <c r="AA734" i="3"/>
  <c r="T734" i="3" l="1"/>
  <c r="AH734" i="3" s="1"/>
  <c r="U733" i="3"/>
  <c r="Y732" i="3"/>
  <c r="E734" i="3" l="1"/>
  <c r="H734" i="3" s="1"/>
  <c r="K734" i="3" s="1"/>
  <c r="AE734" i="3" s="1"/>
  <c r="AG734" i="3"/>
  <c r="D734" i="3"/>
  <c r="G734" i="3" s="1"/>
  <c r="F734" i="3" l="1"/>
  <c r="I734" i="3"/>
  <c r="J734" i="3"/>
  <c r="AD734" i="3" s="1"/>
  <c r="M734" i="3"/>
  <c r="N734" i="3" s="1"/>
  <c r="V734" i="3"/>
  <c r="A735" i="3"/>
  <c r="B735" i="3" s="1"/>
  <c r="W734" i="3" l="1"/>
  <c r="AA735" i="3"/>
  <c r="Z735" i="3"/>
  <c r="AD735" i="3"/>
  <c r="AC735" i="3"/>
  <c r="P735" i="3"/>
  <c r="Q735" i="3" s="1"/>
  <c r="R735" i="3" s="1"/>
  <c r="S735" i="3" s="1"/>
  <c r="L734" i="3"/>
  <c r="T735" i="3" l="1"/>
  <c r="AH735" i="3" s="1"/>
  <c r="U734" i="3"/>
  <c r="Y733" i="3"/>
  <c r="E735" i="3" l="1"/>
  <c r="H735" i="3" s="1"/>
  <c r="K735" i="3" s="1"/>
  <c r="AE735" i="3" s="1"/>
  <c r="AG735" i="3"/>
  <c r="D735" i="3"/>
  <c r="F735" i="3" l="1"/>
  <c r="G735" i="3"/>
  <c r="I735" i="3" s="1"/>
  <c r="V735" i="3"/>
  <c r="A736" i="3"/>
  <c r="B736" i="3" s="1"/>
  <c r="M735" i="3" l="1"/>
  <c r="N735" i="3" s="1"/>
  <c r="J735" i="3"/>
  <c r="L735" i="3" s="1"/>
  <c r="W735" i="3"/>
  <c r="Z736" i="3"/>
  <c r="P736" i="3"/>
  <c r="Q736" i="3" s="1"/>
  <c r="R736" i="3" s="1"/>
  <c r="S736" i="3" s="1"/>
  <c r="AC736" i="3"/>
  <c r="AA736" i="3"/>
  <c r="AD736" i="3"/>
  <c r="T736" i="3" l="1"/>
  <c r="AH736" i="3" s="1"/>
  <c r="U735" i="3"/>
  <c r="Y734" i="3"/>
  <c r="AG736" i="3" l="1"/>
  <c r="E736" i="3"/>
  <c r="H736" i="3" s="1"/>
  <c r="K736" i="3" s="1"/>
  <c r="AE736" i="3" s="1"/>
  <c r="D736" i="3"/>
  <c r="F736" i="3" l="1"/>
  <c r="G736" i="3"/>
  <c r="I736" i="3" s="1"/>
  <c r="V736" i="3"/>
  <c r="A737" i="3"/>
  <c r="B737" i="3" s="1"/>
  <c r="M736" i="3" l="1"/>
  <c r="N736" i="3" s="1"/>
  <c r="J736" i="3"/>
  <c r="L736" i="3" s="1"/>
  <c r="AA737" i="3"/>
  <c r="AC737" i="3"/>
  <c r="P737" i="3"/>
  <c r="Q737" i="3" s="1"/>
  <c r="R737" i="3" s="1"/>
  <c r="S737" i="3" s="1"/>
  <c r="AD737" i="3"/>
  <c r="Z737" i="3"/>
  <c r="W736" i="3"/>
  <c r="T737" i="3" l="1"/>
  <c r="AG737" i="3" s="1"/>
  <c r="U736" i="3"/>
  <c r="Y735" i="3"/>
  <c r="D737" i="3" l="1"/>
  <c r="G737" i="3" s="1"/>
  <c r="E737" i="3"/>
  <c r="H737" i="3" s="1"/>
  <c r="K737" i="3" s="1"/>
  <c r="AE737" i="3" s="1"/>
  <c r="AH737" i="3"/>
  <c r="F737" i="3" l="1"/>
  <c r="V737" i="3"/>
  <c r="A738" i="3"/>
  <c r="B738" i="3" s="1"/>
  <c r="I737" i="3"/>
  <c r="J737" i="3"/>
  <c r="M737" i="3"/>
  <c r="N737" i="3" s="1"/>
  <c r="L737" i="3" l="1"/>
  <c r="Z738" i="3"/>
  <c r="AD738" i="3"/>
  <c r="AA738" i="3"/>
  <c r="AC738" i="3"/>
  <c r="P738" i="3"/>
  <c r="Q738" i="3" s="1"/>
  <c r="R738" i="3" s="1"/>
  <c r="S738" i="3" s="1"/>
  <c r="W737" i="3"/>
  <c r="T738" i="3" l="1"/>
  <c r="AG738" i="3" s="1"/>
  <c r="U737" i="3"/>
  <c r="Y736" i="3"/>
  <c r="D738" i="3" l="1"/>
  <c r="G738" i="3" s="1"/>
  <c r="E738" i="3"/>
  <c r="H738" i="3" s="1"/>
  <c r="K738" i="3" s="1"/>
  <c r="AE738" i="3" s="1"/>
  <c r="AH738" i="3"/>
  <c r="F738" i="3" l="1"/>
  <c r="V738" i="3"/>
  <c r="A739" i="3"/>
  <c r="B739" i="3" s="1"/>
  <c r="I738" i="3"/>
  <c r="J738" i="3"/>
  <c r="M738" i="3"/>
  <c r="N738" i="3" s="1"/>
  <c r="L738" i="3" l="1"/>
  <c r="P739" i="3"/>
  <c r="Q739" i="3" s="1"/>
  <c r="R739" i="3" s="1"/>
  <c r="S739" i="3" s="1"/>
  <c r="AC739" i="3"/>
  <c r="AA739" i="3"/>
  <c r="AD739" i="3"/>
  <c r="Z739" i="3"/>
  <c r="W738" i="3"/>
  <c r="T739" i="3" l="1"/>
  <c r="AH739" i="3" s="1"/>
  <c r="U738" i="3"/>
  <c r="Y737" i="3"/>
  <c r="AG739" i="3" l="1"/>
  <c r="E739" i="3"/>
  <c r="H739" i="3" s="1"/>
  <c r="K739" i="3" s="1"/>
  <c r="AE739" i="3" s="1"/>
  <c r="D739" i="3"/>
  <c r="F739" i="3" l="1"/>
  <c r="G739" i="3"/>
  <c r="I739" i="3" s="1"/>
  <c r="V739" i="3"/>
  <c r="A740" i="3"/>
  <c r="B740" i="3" s="1"/>
  <c r="M739" i="3" l="1"/>
  <c r="N739" i="3" s="1"/>
  <c r="J739" i="3"/>
  <c r="L739" i="3" s="1"/>
  <c r="AC740" i="3"/>
  <c r="Z740" i="3"/>
  <c r="AD740" i="3"/>
  <c r="AA740" i="3"/>
  <c r="P740" i="3"/>
  <c r="Q740" i="3" s="1"/>
  <c r="R740" i="3" s="1"/>
  <c r="S740" i="3" s="1"/>
  <c r="W739" i="3"/>
  <c r="T740" i="3" l="1"/>
  <c r="AG740" i="3" s="1"/>
  <c r="U739" i="3"/>
  <c r="Y738" i="3"/>
  <c r="D740" i="3" l="1"/>
  <c r="G740" i="3" s="1"/>
  <c r="AH740" i="3"/>
  <c r="E740" i="3"/>
  <c r="H740" i="3" s="1"/>
  <c r="K740" i="3" l="1"/>
  <c r="AE740" i="3" s="1"/>
  <c r="I740" i="3"/>
  <c r="J740" i="3"/>
  <c r="M740" i="3"/>
  <c r="N740" i="3" s="1"/>
  <c r="F740" i="3"/>
  <c r="L740" i="3" l="1"/>
  <c r="V740" i="3"/>
  <c r="W740" i="3" s="1"/>
  <c r="A741" i="3"/>
  <c r="B741" i="3" s="1"/>
  <c r="Z741" i="3" l="1"/>
  <c r="P741" i="3"/>
  <c r="Q741" i="3" s="1"/>
  <c r="R741" i="3" s="1"/>
  <c r="S741" i="3" s="1"/>
  <c r="AA741" i="3"/>
  <c r="AC741" i="3"/>
  <c r="AD741" i="3"/>
  <c r="U740" i="3"/>
  <c r="Y739" i="3"/>
  <c r="T741" i="3" l="1"/>
  <c r="AG741" i="3" s="1"/>
  <c r="E741" i="3" l="1"/>
  <c r="H741" i="3" s="1"/>
  <c r="K741" i="3" s="1"/>
  <c r="AE741" i="3" s="1"/>
  <c r="AH741" i="3"/>
  <c r="D741" i="3"/>
  <c r="G741" i="3" s="1"/>
  <c r="F741" i="3" l="1"/>
  <c r="I741" i="3"/>
  <c r="J741" i="3"/>
  <c r="M741" i="3"/>
  <c r="N741" i="3" s="1"/>
  <c r="V741" i="3"/>
  <c r="A742" i="3"/>
  <c r="B742" i="3" s="1"/>
  <c r="W741" i="3" l="1"/>
  <c r="L741" i="3"/>
  <c r="AC742" i="3"/>
  <c r="P742" i="3"/>
  <c r="Q742" i="3" s="1"/>
  <c r="R742" i="3" s="1"/>
  <c r="S742" i="3" s="1"/>
  <c r="AA742" i="3"/>
  <c r="AD742" i="3"/>
  <c r="Z742" i="3"/>
  <c r="T742" i="3" l="1"/>
  <c r="AG742" i="3" s="1"/>
  <c r="U741" i="3"/>
  <c r="Y740" i="3"/>
  <c r="E742" i="3" l="1"/>
  <c r="H742" i="3" s="1"/>
  <c r="K742" i="3" s="1"/>
  <c r="AE742" i="3" s="1"/>
  <c r="AH742" i="3"/>
  <c r="D742" i="3"/>
  <c r="F742" i="3" l="1"/>
  <c r="G742" i="3"/>
  <c r="I742" i="3" s="1"/>
  <c r="V742" i="3"/>
  <c r="A743" i="3"/>
  <c r="B743" i="3" s="1"/>
  <c r="M742" i="3" l="1"/>
  <c r="N742" i="3" s="1"/>
  <c r="J742" i="3"/>
  <c r="L742" i="3" s="1"/>
  <c r="P743" i="3"/>
  <c r="Q743" i="3" s="1"/>
  <c r="R743" i="3" s="1"/>
  <c r="S743" i="3" s="1"/>
  <c r="AC743" i="3"/>
  <c r="AD743" i="3"/>
  <c r="Z743" i="3"/>
  <c r="AA743" i="3"/>
  <c r="W742" i="3"/>
  <c r="T743" i="3" l="1"/>
  <c r="AG743" i="3" s="1"/>
  <c r="U742" i="3"/>
  <c r="Y741" i="3"/>
  <c r="AH743" i="3" l="1"/>
  <c r="E743" i="3"/>
  <c r="H743" i="3" s="1"/>
  <c r="K743" i="3" s="1"/>
  <c r="AE743" i="3" s="1"/>
  <c r="D743" i="3"/>
  <c r="F743" i="3" l="1"/>
  <c r="G743" i="3"/>
  <c r="I743" i="3" s="1"/>
  <c r="V743" i="3"/>
  <c r="A744" i="3"/>
  <c r="B744" i="3" s="1"/>
  <c r="M743" i="3" l="1"/>
  <c r="N743" i="3" s="1"/>
  <c r="J743" i="3"/>
  <c r="L743" i="3" s="1"/>
  <c r="W743" i="3"/>
  <c r="AA744" i="3"/>
  <c r="Z744" i="3"/>
  <c r="AC744" i="3"/>
  <c r="P744" i="3"/>
  <c r="Q744" i="3" s="1"/>
  <c r="R744" i="3" s="1"/>
  <c r="S744" i="3" s="1"/>
  <c r="T744" i="3" l="1"/>
  <c r="AG744" i="3" s="1"/>
  <c r="U743" i="3"/>
  <c r="Y742" i="3"/>
  <c r="AH744" i="3" l="1"/>
  <c r="E744" i="3"/>
  <c r="H744" i="3" s="1"/>
  <c r="K744" i="3" s="1"/>
  <c r="AE744" i="3" s="1"/>
  <c r="D744" i="3"/>
  <c r="F744" i="3" l="1"/>
  <c r="G744" i="3"/>
  <c r="I744" i="3" s="1"/>
  <c r="V744" i="3"/>
  <c r="A745" i="3"/>
  <c r="B745" i="3" s="1"/>
  <c r="J744" i="3" l="1"/>
  <c r="AD744" i="3" s="1"/>
  <c r="M744" i="3"/>
  <c r="N744" i="3" s="1"/>
  <c r="W744" i="3"/>
  <c r="AA745" i="3"/>
  <c r="AC745" i="3"/>
  <c r="AD745" i="3"/>
  <c r="Z745" i="3"/>
  <c r="P745" i="3"/>
  <c r="Q745" i="3" s="1"/>
  <c r="R745" i="3" s="1"/>
  <c r="S745" i="3" s="1"/>
  <c r="L744" i="3" l="1"/>
  <c r="U744" i="3" s="1"/>
  <c r="T745" i="3"/>
  <c r="Y743" i="3" l="1"/>
  <c r="AH745" i="3"/>
  <c r="AG745" i="3"/>
  <c r="E745" i="3"/>
  <c r="H745" i="3" s="1"/>
  <c r="K745" i="3" s="1"/>
  <c r="AE745" i="3" s="1"/>
  <c r="D745" i="3"/>
  <c r="F745" i="3" l="1"/>
  <c r="G745" i="3"/>
  <c r="V745" i="3"/>
  <c r="A746" i="3"/>
  <c r="B746" i="3" s="1"/>
  <c r="P746" i="3" l="1"/>
  <c r="Q746" i="3" s="1"/>
  <c r="R746" i="3" s="1"/>
  <c r="S746" i="3" s="1"/>
  <c r="AC746" i="3"/>
  <c r="AA746" i="3"/>
  <c r="Z746" i="3"/>
  <c r="AD746" i="3"/>
  <c r="I745" i="3"/>
  <c r="W745" i="3" s="1"/>
  <c r="J745" i="3"/>
  <c r="M745" i="3"/>
  <c r="N745" i="3" s="1"/>
  <c r="L745" i="3" l="1"/>
  <c r="T746" i="3"/>
  <c r="AG746" i="3" l="1"/>
  <c r="U745" i="3"/>
  <c r="D746" i="3" s="1"/>
  <c r="AH746" i="3"/>
  <c r="Y744" i="3"/>
  <c r="G746" i="3" l="1"/>
  <c r="E746" i="3"/>
  <c r="H746" i="3" s="1"/>
  <c r="K746" i="3" l="1"/>
  <c r="AE746" i="3" s="1"/>
  <c r="I746" i="3"/>
  <c r="J746" i="3"/>
  <c r="M746" i="3"/>
  <c r="N746" i="3" s="1"/>
  <c r="F746" i="3"/>
  <c r="V746" i="3" l="1"/>
  <c r="W746" i="3" s="1"/>
  <c r="A747" i="3"/>
  <c r="B747" i="3" s="1"/>
  <c r="L746" i="3"/>
  <c r="U746" i="3" l="1"/>
  <c r="Y745" i="3"/>
  <c r="AC747" i="3"/>
  <c r="P747" i="3"/>
  <c r="Q747" i="3" s="1"/>
  <c r="R747" i="3" s="1"/>
  <c r="S747" i="3" s="1"/>
  <c r="AA747" i="3"/>
  <c r="AD747" i="3"/>
  <c r="Z747" i="3"/>
  <c r="T747" i="3" l="1"/>
  <c r="D747" i="3" s="1"/>
  <c r="E747" i="3" l="1"/>
  <c r="H747" i="3" s="1"/>
  <c r="K747" i="3" s="1"/>
  <c r="AE747" i="3" s="1"/>
  <c r="AG747" i="3"/>
  <c r="AH747" i="3"/>
  <c r="G747" i="3"/>
  <c r="F747" i="3" l="1"/>
  <c r="V747" i="3"/>
  <c r="A748" i="3"/>
  <c r="B748" i="3" s="1"/>
  <c r="I747" i="3"/>
  <c r="J747" i="3"/>
  <c r="M747" i="3"/>
  <c r="N747" i="3" s="1"/>
  <c r="AC748" i="3" l="1"/>
  <c r="P748" i="3"/>
  <c r="Q748" i="3" s="1"/>
  <c r="R748" i="3" s="1"/>
  <c r="S748" i="3" s="1"/>
  <c r="AA748" i="3"/>
  <c r="AD748" i="3"/>
  <c r="Z748" i="3"/>
  <c r="L747" i="3"/>
  <c r="W747" i="3"/>
  <c r="T748" i="3" l="1"/>
  <c r="AH748" i="3" s="1"/>
  <c r="U747" i="3"/>
  <c r="Y746" i="3"/>
  <c r="E748" i="3" l="1"/>
  <c r="H748" i="3" s="1"/>
  <c r="K748" i="3" s="1"/>
  <c r="AE748" i="3" s="1"/>
  <c r="AG748" i="3"/>
  <c r="D748" i="3"/>
  <c r="F748" i="3" l="1"/>
  <c r="G748" i="3"/>
  <c r="I748" i="3" s="1"/>
  <c r="V748" i="3"/>
  <c r="A749" i="3"/>
  <c r="B749" i="3" s="1"/>
  <c r="M748" i="3" l="1"/>
  <c r="N748" i="3" s="1"/>
  <c r="J748" i="3"/>
  <c r="L748" i="3" s="1"/>
  <c r="AC749" i="3"/>
  <c r="AD749" i="3"/>
  <c r="AA749" i="3"/>
  <c r="Z749" i="3"/>
  <c r="P749" i="3"/>
  <c r="Q749" i="3" s="1"/>
  <c r="R749" i="3" s="1"/>
  <c r="S749" i="3" s="1"/>
  <c r="W748" i="3"/>
  <c r="T749" i="3" l="1"/>
  <c r="AH749" i="3" s="1"/>
  <c r="U748" i="3"/>
  <c r="Y747" i="3"/>
  <c r="D749" i="3" l="1"/>
  <c r="G749" i="3" s="1"/>
  <c r="AG749" i="3"/>
  <c r="E749" i="3"/>
  <c r="H749" i="3" s="1"/>
  <c r="K749" i="3" s="1"/>
  <c r="AE749" i="3" s="1"/>
  <c r="F749" i="3" l="1"/>
  <c r="V749" i="3"/>
  <c r="A750" i="3"/>
  <c r="B750" i="3" s="1"/>
  <c r="I749" i="3"/>
  <c r="J749" i="3"/>
  <c r="M749" i="3"/>
  <c r="N749" i="3" s="1"/>
  <c r="Z750" i="3" l="1"/>
  <c r="AD750" i="3"/>
  <c r="AC750" i="3"/>
  <c r="AA750" i="3"/>
  <c r="P750" i="3"/>
  <c r="Q750" i="3" s="1"/>
  <c r="R750" i="3" s="1"/>
  <c r="S750" i="3" s="1"/>
  <c r="L749" i="3"/>
  <c r="W749" i="3"/>
  <c r="T750" i="3" l="1"/>
  <c r="AH750" i="3" s="1"/>
  <c r="U749" i="3"/>
  <c r="Y748" i="3"/>
  <c r="E750" i="3" l="1"/>
  <c r="H750" i="3" s="1"/>
  <c r="K750" i="3" s="1"/>
  <c r="AE750" i="3" s="1"/>
  <c r="AG750" i="3"/>
  <c r="D750" i="3"/>
  <c r="G750" i="3" s="1"/>
  <c r="F750" i="3" l="1"/>
  <c r="V750" i="3"/>
  <c r="A751" i="3"/>
  <c r="B751" i="3" s="1"/>
  <c r="I750" i="3"/>
  <c r="J750" i="3"/>
  <c r="M750" i="3"/>
  <c r="N750" i="3" s="1"/>
  <c r="Z751" i="3" l="1"/>
  <c r="AA751" i="3"/>
  <c r="AC751" i="3"/>
  <c r="AD751" i="3"/>
  <c r="P751" i="3"/>
  <c r="Q751" i="3" s="1"/>
  <c r="R751" i="3" s="1"/>
  <c r="S751" i="3" s="1"/>
  <c r="L750" i="3"/>
  <c r="W750" i="3"/>
  <c r="T751" i="3" l="1"/>
  <c r="AG751" i="3" s="1"/>
  <c r="U750" i="3"/>
  <c r="Y749" i="3"/>
  <c r="D751" i="3" l="1"/>
  <c r="G751" i="3" s="1"/>
  <c r="AH751" i="3"/>
  <c r="E751" i="3"/>
  <c r="H751" i="3" s="1"/>
  <c r="K751" i="3" s="1"/>
  <c r="AE751" i="3" s="1"/>
  <c r="F751" i="3" l="1"/>
  <c r="V751" i="3"/>
  <c r="A752" i="3"/>
  <c r="B752" i="3" s="1"/>
  <c r="I751" i="3"/>
  <c r="J751" i="3"/>
  <c r="M751" i="3"/>
  <c r="N751" i="3" s="1"/>
  <c r="L751" i="3" l="1"/>
  <c r="W751" i="3"/>
  <c r="AC752" i="3"/>
  <c r="AA752" i="3"/>
  <c r="AD752" i="3"/>
  <c r="Z752" i="3"/>
  <c r="P752" i="3"/>
  <c r="Q752" i="3" s="1"/>
  <c r="R752" i="3" s="1"/>
  <c r="S752" i="3" s="1"/>
  <c r="U751" i="3" l="1"/>
  <c r="Y750" i="3"/>
  <c r="T752" i="3"/>
  <c r="AG752" i="3" s="1"/>
  <c r="E752" i="3" l="1"/>
  <c r="H752" i="3" s="1"/>
  <c r="AH752" i="3"/>
  <c r="D752" i="3"/>
  <c r="F752" i="3" l="1"/>
  <c r="G752" i="3"/>
  <c r="K752" i="3"/>
  <c r="AE752" i="3" s="1"/>
  <c r="V752" i="3" l="1"/>
  <c r="A753" i="3"/>
  <c r="B753" i="3" s="1"/>
  <c r="I752" i="3"/>
  <c r="J752" i="3"/>
  <c r="M752" i="3"/>
  <c r="N752" i="3" s="1"/>
  <c r="W752" i="3" l="1"/>
  <c r="P753" i="3"/>
  <c r="Q753" i="3" s="1"/>
  <c r="R753" i="3" s="1"/>
  <c r="S753" i="3" s="1"/>
  <c r="AA753" i="3"/>
  <c r="Z753" i="3"/>
  <c r="AD753" i="3"/>
  <c r="AC753" i="3"/>
  <c r="L752" i="3"/>
  <c r="U752" i="3" l="1"/>
  <c r="Y751" i="3"/>
  <c r="T753" i="3"/>
  <c r="AG753" i="3" s="1"/>
  <c r="D753" i="3" l="1"/>
  <c r="G753" i="3" s="1"/>
  <c r="AH753" i="3"/>
  <c r="E753" i="3"/>
  <c r="H753" i="3" s="1"/>
  <c r="K753" i="3" s="1"/>
  <c r="AE753" i="3" s="1"/>
  <c r="F753" i="3" l="1"/>
  <c r="V753" i="3"/>
  <c r="A754" i="3"/>
  <c r="B754" i="3" s="1"/>
  <c r="I753" i="3"/>
  <c r="J753" i="3"/>
  <c r="M753" i="3"/>
  <c r="N753" i="3" s="1"/>
  <c r="AA754" i="3" l="1"/>
  <c r="AC754" i="3"/>
  <c r="P754" i="3"/>
  <c r="Q754" i="3" s="1"/>
  <c r="R754" i="3" s="1"/>
  <c r="S754" i="3" s="1"/>
  <c r="Z754" i="3"/>
  <c r="L753" i="3"/>
  <c r="W753" i="3"/>
  <c r="T754" i="3" l="1"/>
  <c r="AH754" i="3" s="1"/>
  <c r="U753" i="3"/>
  <c r="Y752" i="3"/>
  <c r="D754" i="3" l="1"/>
  <c r="G754" i="3" s="1"/>
  <c r="E754" i="3"/>
  <c r="H754" i="3" s="1"/>
  <c r="K754" i="3" s="1"/>
  <c r="AE754" i="3" s="1"/>
  <c r="AG754" i="3"/>
  <c r="F754" i="3" l="1"/>
  <c r="I754" i="3"/>
  <c r="J754" i="3"/>
  <c r="AD754" i="3" s="1"/>
  <c r="M754" i="3"/>
  <c r="N754" i="3" s="1"/>
  <c r="V754" i="3"/>
  <c r="A755" i="3"/>
  <c r="B755" i="3" s="1"/>
  <c r="W754" i="3" l="1"/>
  <c r="AA755" i="3"/>
  <c r="AD755" i="3"/>
  <c r="AC755" i="3"/>
  <c r="Z755" i="3"/>
  <c r="P755" i="3"/>
  <c r="Q755" i="3" s="1"/>
  <c r="R755" i="3" s="1"/>
  <c r="S755" i="3" s="1"/>
  <c r="L754" i="3"/>
  <c r="T755" i="3" l="1"/>
  <c r="AH755" i="3" s="1"/>
  <c r="U754" i="3"/>
  <c r="Y753" i="3"/>
  <c r="AG755" i="3" l="1"/>
  <c r="D755" i="3"/>
  <c r="G755" i="3" s="1"/>
  <c r="E755" i="3"/>
  <c r="H755" i="3" s="1"/>
  <c r="K755" i="3" l="1"/>
  <c r="AE755" i="3" s="1"/>
  <c r="I755" i="3"/>
  <c r="J755" i="3"/>
  <c r="M755" i="3"/>
  <c r="N755" i="3" s="1"/>
  <c r="F755" i="3"/>
  <c r="L755" i="3" l="1"/>
  <c r="V755" i="3"/>
  <c r="W755" i="3" s="1"/>
  <c r="A756" i="3"/>
  <c r="B756" i="3" s="1"/>
  <c r="Z756" i="3" l="1"/>
  <c r="AC756" i="3"/>
  <c r="AD756" i="3"/>
  <c r="AA756" i="3"/>
  <c r="P756" i="3"/>
  <c r="Q756" i="3" s="1"/>
  <c r="R756" i="3" s="1"/>
  <c r="S756" i="3" s="1"/>
  <c r="U755" i="3"/>
  <c r="Y754" i="3"/>
  <c r="T756" i="3" l="1"/>
  <c r="E756" i="3" s="1"/>
  <c r="H756" i="3" s="1"/>
  <c r="AG756" i="3" l="1"/>
  <c r="AH756" i="3"/>
  <c r="K756" i="3"/>
  <c r="AE756" i="3" s="1"/>
  <c r="D756" i="3"/>
  <c r="F756" i="3" l="1"/>
  <c r="G756" i="3"/>
  <c r="V756" i="3"/>
  <c r="A757" i="3"/>
  <c r="B757" i="3" s="1"/>
  <c r="AA757" i="3" l="1"/>
  <c r="Z757" i="3"/>
  <c r="P757" i="3"/>
  <c r="Q757" i="3" s="1"/>
  <c r="R757" i="3" s="1"/>
  <c r="S757" i="3" s="1"/>
  <c r="AD757" i="3"/>
  <c r="AC757" i="3"/>
  <c r="I756" i="3"/>
  <c r="W756" i="3" s="1"/>
  <c r="J756" i="3"/>
  <c r="M756" i="3"/>
  <c r="N756" i="3" s="1"/>
  <c r="L756" i="3" l="1"/>
  <c r="T757" i="3"/>
  <c r="AH757" i="3" l="1"/>
  <c r="AG757" i="3"/>
  <c r="U756" i="3"/>
  <c r="E757" i="3" s="1"/>
  <c r="H757" i="3" s="1"/>
  <c r="Y755" i="3"/>
  <c r="K757" i="3" l="1"/>
  <c r="AE757" i="3" s="1"/>
  <c r="D757" i="3"/>
  <c r="F757" i="3" l="1"/>
  <c r="G757" i="3"/>
  <c r="V757" i="3"/>
  <c r="A758" i="3"/>
  <c r="B758" i="3" s="1"/>
  <c r="AC758" i="3" l="1"/>
  <c r="AD758" i="3"/>
  <c r="P758" i="3"/>
  <c r="Q758" i="3" s="1"/>
  <c r="R758" i="3" s="1"/>
  <c r="S758" i="3" s="1"/>
  <c r="AA758" i="3"/>
  <c r="Z758" i="3"/>
  <c r="I757" i="3"/>
  <c r="W757" i="3" s="1"/>
  <c r="J757" i="3"/>
  <c r="M757" i="3"/>
  <c r="N757" i="3" s="1"/>
  <c r="L757" i="3" l="1"/>
  <c r="T758" i="3"/>
  <c r="AH758" i="3" l="1"/>
  <c r="AG758" i="3"/>
  <c r="U757" i="3"/>
  <c r="D758" i="3" s="1"/>
  <c r="Y756" i="3"/>
  <c r="G758" i="3" l="1"/>
  <c r="E758" i="3"/>
  <c r="H758" i="3" s="1"/>
  <c r="K758" i="3" l="1"/>
  <c r="AE758" i="3" s="1"/>
  <c r="I758" i="3"/>
  <c r="J758" i="3"/>
  <c r="M758" i="3"/>
  <c r="N758" i="3" s="1"/>
  <c r="F758" i="3"/>
  <c r="L758" i="3" l="1"/>
  <c r="V758" i="3"/>
  <c r="W758" i="3" s="1"/>
  <c r="A759" i="3"/>
  <c r="B759" i="3" s="1"/>
  <c r="AC759" i="3" l="1"/>
  <c r="AD759" i="3"/>
  <c r="AA759" i="3"/>
  <c r="P759" i="3"/>
  <c r="Q759" i="3" s="1"/>
  <c r="R759" i="3" s="1"/>
  <c r="S759" i="3" s="1"/>
  <c r="Z759" i="3"/>
  <c r="U758" i="3"/>
  <c r="Y757" i="3"/>
  <c r="T759" i="3" l="1"/>
  <c r="AG759" i="3" s="1"/>
  <c r="D759" i="3" l="1"/>
  <c r="G759" i="3" s="1"/>
  <c r="E759" i="3"/>
  <c r="H759" i="3" s="1"/>
  <c r="K759" i="3" s="1"/>
  <c r="AE759" i="3" s="1"/>
  <c r="AH759" i="3"/>
  <c r="F759" i="3" l="1"/>
  <c r="V759" i="3"/>
  <c r="A760" i="3"/>
  <c r="B760" i="3" s="1"/>
  <c r="I759" i="3"/>
  <c r="J759" i="3"/>
  <c r="M759" i="3"/>
  <c r="N759" i="3" s="1"/>
  <c r="AC760" i="3" l="1"/>
  <c r="Z760" i="3"/>
  <c r="P760" i="3"/>
  <c r="Q760" i="3" s="1"/>
  <c r="R760" i="3" s="1"/>
  <c r="S760" i="3" s="1"/>
  <c r="AA760" i="3"/>
  <c r="AD760" i="3"/>
  <c r="L759" i="3"/>
  <c r="W759" i="3"/>
  <c r="T760" i="3" l="1"/>
  <c r="AG760" i="3" s="1"/>
  <c r="U759" i="3"/>
  <c r="Y758" i="3"/>
  <c r="D760" i="3" l="1"/>
  <c r="G760" i="3" s="1"/>
  <c r="AH760" i="3"/>
  <c r="E760" i="3"/>
  <c r="H760" i="3" s="1"/>
  <c r="K760" i="3" s="1"/>
  <c r="AE760" i="3" s="1"/>
  <c r="F760" i="3" l="1"/>
  <c r="I760" i="3"/>
  <c r="J760" i="3"/>
  <c r="M760" i="3"/>
  <c r="N760" i="3" s="1"/>
  <c r="V760" i="3"/>
  <c r="A761" i="3"/>
  <c r="B761" i="3" s="1"/>
  <c r="W760" i="3" l="1"/>
  <c r="P761" i="3"/>
  <c r="Q761" i="3" s="1"/>
  <c r="R761" i="3" s="1"/>
  <c r="S761" i="3" s="1"/>
  <c r="Z761" i="3"/>
  <c r="AA761" i="3"/>
  <c r="AD761" i="3"/>
  <c r="AC761" i="3"/>
  <c r="L760" i="3"/>
  <c r="U760" i="3" l="1"/>
  <c r="Y759" i="3"/>
  <c r="T761" i="3"/>
  <c r="AH761" i="3" s="1"/>
  <c r="D761" i="3" l="1"/>
  <c r="G761" i="3" s="1"/>
  <c r="E761" i="3"/>
  <c r="H761" i="3" s="1"/>
  <c r="K761" i="3" s="1"/>
  <c r="AE761" i="3" s="1"/>
  <c r="AG761" i="3"/>
  <c r="F761" i="3" l="1"/>
  <c r="I761" i="3"/>
  <c r="J761" i="3"/>
  <c r="M761" i="3"/>
  <c r="N761" i="3" s="1"/>
  <c r="V761" i="3"/>
  <c r="A762" i="3"/>
  <c r="B762" i="3" s="1"/>
  <c r="W761" i="3" l="1"/>
  <c r="Z762" i="3"/>
  <c r="AA762" i="3"/>
  <c r="AD762" i="3"/>
  <c r="AC762" i="3"/>
  <c r="P762" i="3"/>
  <c r="Q762" i="3" s="1"/>
  <c r="R762" i="3" s="1"/>
  <c r="S762" i="3" s="1"/>
  <c r="L761" i="3"/>
  <c r="T762" i="3" l="1"/>
  <c r="AH762" i="3" s="1"/>
  <c r="U761" i="3"/>
  <c r="Y760" i="3"/>
  <c r="AG762" i="3" l="1"/>
  <c r="E762" i="3"/>
  <c r="H762" i="3" s="1"/>
  <c r="K762" i="3" s="1"/>
  <c r="AE762" i="3" s="1"/>
  <c r="D762" i="3"/>
  <c r="F762" i="3" l="1"/>
  <c r="G762" i="3"/>
  <c r="I762" i="3" s="1"/>
  <c r="V762" i="3"/>
  <c r="A763" i="3"/>
  <c r="B763" i="3" s="1"/>
  <c r="M762" i="3" l="1"/>
  <c r="N762" i="3" s="1"/>
  <c r="J762" i="3"/>
  <c r="L762" i="3" s="1"/>
  <c r="W762" i="3"/>
  <c r="AA763" i="3"/>
  <c r="AD763" i="3"/>
  <c r="AC763" i="3"/>
  <c r="Z763" i="3"/>
  <c r="P763" i="3"/>
  <c r="Q763" i="3" s="1"/>
  <c r="R763" i="3" s="1"/>
  <c r="S763" i="3" s="1"/>
  <c r="U762" i="3" l="1"/>
  <c r="Y761" i="3"/>
  <c r="T763" i="3"/>
  <c r="D763" i="3" l="1"/>
  <c r="G763" i="3" s="1"/>
  <c r="AH763" i="3"/>
  <c r="E763" i="3"/>
  <c r="H763" i="3" s="1"/>
  <c r="K763" i="3" s="1"/>
  <c r="AE763" i="3" s="1"/>
  <c r="AG763" i="3"/>
  <c r="F763" i="3" l="1"/>
  <c r="V763" i="3"/>
  <c r="A764" i="3"/>
  <c r="B764" i="3" s="1"/>
  <c r="I763" i="3"/>
  <c r="J763" i="3"/>
  <c r="M763" i="3"/>
  <c r="N763" i="3" s="1"/>
  <c r="L763" i="3" l="1"/>
  <c r="Z764" i="3"/>
  <c r="AA764" i="3"/>
  <c r="AC764" i="3"/>
  <c r="P764" i="3"/>
  <c r="Q764" i="3" s="1"/>
  <c r="R764" i="3" s="1"/>
  <c r="S764" i="3" s="1"/>
  <c r="W763" i="3"/>
  <c r="T764" i="3" l="1"/>
  <c r="AG764" i="3" s="1"/>
  <c r="U763" i="3"/>
  <c r="Y762" i="3"/>
  <c r="E764" i="3" l="1"/>
  <c r="H764" i="3" s="1"/>
  <c r="K764" i="3" s="1"/>
  <c r="AE764" i="3" s="1"/>
  <c r="AH764" i="3"/>
  <c r="D764" i="3"/>
  <c r="G764" i="3" s="1"/>
  <c r="F764" i="3" l="1"/>
  <c r="I764" i="3"/>
  <c r="J764" i="3"/>
  <c r="AD764" i="3" s="1"/>
  <c r="M764" i="3"/>
  <c r="N764" i="3" s="1"/>
  <c r="V764" i="3"/>
  <c r="A765" i="3"/>
  <c r="B765" i="3" s="1"/>
  <c r="W764" i="3" l="1"/>
  <c r="Z765" i="3"/>
  <c r="AC765" i="3"/>
  <c r="AD765" i="3"/>
  <c r="AA765" i="3"/>
  <c r="P765" i="3"/>
  <c r="Q765" i="3" s="1"/>
  <c r="R765" i="3" s="1"/>
  <c r="S765" i="3" s="1"/>
  <c r="L764" i="3"/>
  <c r="T765" i="3" l="1"/>
  <c r="AG765" i="3" s="1"/>
  <c r="U764" i="3"/>
  <c r="Y763" i="3"/>
  <c r="AH765" i="3" l="1"/>
  <c r="D765" i="3"/>
  <c r="G765" i="3" s="1"/>
  <c r="E765" i="3"/>
  <c r="H765" i="3" s="1"/>
  <c r="K765" i="3" s="1"/>
  <c r="AE765" i="3" s="1"/>
  <c r="F765" i="3" l="1"/>
  <c r="V765" i="3"/>
  <c r="A766" i="3"/>
  <c r="B766" i="3" s="1"/>
  <c r="I765" i="3"/>
  <c r="J765" i="3"/>
  <c r="M765" i="3"/>
  <c r="N765" i="3" s="1"/>
  <c r="L765" i="3" l="1"/>
  <c r="P766" i="3"/>
  <c r="Q766" i="3" s="1"/>
  <c r="R766" i="3" s="1"/>
  <c r="S766" i="3" s="1"/>
  <c r="AC766" i="3"/>
  <c r="AD766" i="3"/>
  <c r="Z766" i="3"/>
  <c r="AA766" i="3"/>
  <c r="W765" i="3"/>
  <c r="T766" i="3" l="1"/>
  <c r="AH766" i="3" s="1"/>
  <c r="U765" i="3"/>
  <c r="Y764" i="3"/>
  <c r="AG766" i="3" l="1"/>
  <c r="D766" i="3"/>
  <c r="G766" i="3" s="1"/>
  <c r="E766" i="3"/>
  <c r="H766" i="3" s="1"/>
  <c r="K766" i="3" s="1"/>
  <c r="AE766" i="3" s="1"/>
  <c r="F766" i="3" l="1"/>
  <c r="V766" i="3"/>
  <c r="A767" i="3"/>
  <c r="B767" i="3" s="1"/>
  <c r="I766" i="3"/>
  <c r="J766" i="3"/>
  <c r="M766" i="3"/>
  <c r="N766" i="3" s="1"/>
  <c r="L766" i="3" l="1"/>
  <c r="AC767" i="3"/>
  <c r="AD767" i="3"/>
  <c r="AA767" i="3"/>
  <c r="Z767" i="3"/>
  <c r="P767" i="3"/>
  <c r="Q767" i="3" s="1"/>
  <c r="R767" i="3" s="1"/>
  <c r="S767" i="3" s="1"/>
  <c r="W766" i="3"/>
  <c r="T767" i="3" l="1"/>
  <c r="AG767" i="3" s="1"/>
  <c r="U766" i="3"/>
  <c r="Y765" i="3"/>
  <c r="AH767" i="3" l="1"/>
  <c r="E767" i="3"/>
  <c r="H767" i="3" s="1"/>
  <c r="K767" i="3" s="1"/>
  <c r="AE767" i="3" s="1"/>
  <c r="D767" i="3"/>
  <c r="F767" i="3" l="1"/>
  <c r="G767" i="3"/>
  <c r="I767" i="3" s="1"/>
  <c r="V767" i="3"/>
  <c r="A768" i="3"/>
  <c r="B768" i="3" s="1"/>
  <c r="M767" i="3" l="1"/>
  <c r="N767" i="3" s="1"/>
  <c r="J767" i="3"/>
  <c r="L767" i="3" s="1"/>
  <c r="AC768" i="3"/>
  <c r="P768" i="3"/>
  <c r="Q768" i="3" s="1"/>
  <c r="R768" i="3" s="1"/>
  <c r="S768" i="3" s="1"/>
  <c r="Z768" i="3"/>
  <c r="AD768" i="3"/>
  <c r="AA768" i="3"/>
  <c r="W767" i="3"/>
  <c r="U767" i="3" l="1"/>
  <c r="Y766" i="3"/>
  <c r="T768" i="3"/>
  <c r="D768" i="3" l="1"/>
  <c r="G768" i="3" s="1"/>
  <c r="E768" i="3"/>
  <c r="H768" i="3" s="1"/>
  <c r="K768" i="3" s="1"/>
  <c r="AE768" i="3" s="1"/>
  <c r="AG768" i="3"/>
  <c r="AH768" i="3"/>
  <c r="F768" i="3" l="1"/>
  <c r="V768" i="3"/>
  <c r="A769" i="3"/>
  <c r="B769" i="3" s="1"/>
  <c r="I768" i="3"/>
  <c r="J768" i="3"/>
  <c r="M768" i="3"/>
  <c r="N768" i="3" s="1"/>
  <c r="L768" i="3" l="1"/>
  <c r="AA769" i="3"/>
  <c r="AD769" i="3"/>
  <c r="AC769" i="3"/>
  <c r="Z769" i="3"/>
  <c r="P769" i="3"/>
  <c r="Q769" i="3" s="1"/>
  <c r="R769" i="3" s="1"/>
  <c r="S769" i="3" s="1"/>
  <c r="W768" i="3"/>
  <c r="T769" i="3" l="1"/>
  <c r="U768" i="3"/>
  <c r="Y767" i="3"/>
  <c r="E769" i="3" l="1"/>
  <c r="H769" i="3" s="1"/>
  <c r="K769" i="3" s="1"/>
  <c r="AE769" i="3" s="1"/>
  <c r="D769" i="3"/>
  <c r="AG769" i="3"/>
  <c r="AH769" i="3"/>
  <c r="F769" i="3" l="1"/>
  <c r="G769" i="3"/>
  <c r="V769" i="3"/>
  <c r="A770" i="3"/>
  <c r="B770" i="3" s="1"/>
  <c r="AD770" i="3" l="1"/>
  <c r="P770" i="3"/>
  <c r="Q770" i="3" s="1"/>
  <c r="R770" i="3" s="1"/>
  <c r="S770" i="3" s="1"/>
  <c r="AC770" i="3"/>
  <c r="Z770" i="3"/>
  <c r="AA770" i="3"/>
  <c r="I769" i="3"/>
  <c r="W769" i="3" s="1"/>
  <c r="J769" i="3"/>
  <c r="M769" i="3"/>
  <c r="N769" i="3" s="1"/>
  <c r="T770" i="3" l="1"/>
  <c r="L769" i="3"/>
  <c r="AG770" i="3" l="1"/>
  <c r="AH770" i="3"/>
  <c r="U769" i="3"/>
  <c r="E770" i="3" s="1"/>
  <c r="H770" i="3" s="1"/>
  <c r="Y768" i="3"/>
  <c r="D770" i="3" l="1"/>
  <c r="F770" i="3" s="1"/>
  <c r="K770" i="3"/>
  <c r="AE770" i="3" s="1"/>
  <c r="G770" i="3" l="1"/>
  <c r="I770" i="3" s="1"/>
  <c r="V770" i="3"/>
  <c r="A771" i="3"/>
  <c r="B771" i="3" s="1"/>
  <c r="J770" i="3" l="1"/>
  <c r="L770" i="3" s="1"/>
  <c r="W770" i="3"/>
  <c r="M770" i="3"/>
  <c r="N770" i="3" s="1"/>
  <c r="P771" i="3"/>
  <c r="Q771" i="3" s="1"/>
  <c r="R771" i="3" s="1"/>
  <c r="S771" i="3" s="1"/>
  <c r="AC771" i="3"/>
  <c r="AA771" i="3"/>
  <c r="Z771" i="3"/>
  <c r="AD771" i="3"/>
  <c r="U770" i="3" l="1"/>
  <c r="Y769" i="3"/>
  <c r="T771" i="3"/>
  <c r="D771" i="3" l="1"/>
  <c r="G771" i="3" s="1"/>
  <c r="E771" i="3"/>
  <c r="H771" i="3" s="1"/>
  <c r="AH771" i="3"/>
  <c r="AG771" i="3"/>
  <c r="K771" i="3" l="1"/>
  <c r="AE771" i="3" s="1"/>
  <c r="I771" i="3"/>
  <c r="J771" i="3"/>
  <c r="M771" i="3"/>
  <c r="N771" i="3" s="1"/>
  <c r="F771" i="3"/>
  <c r="L771" i="3" l="1"/>
  <c r="V771" i="3"/>
  <c r="W771" i="3" s="1"/>
  <c r="A772" i="3"/>
  <c r="B772" i="3" s="1"/>
  <c r="AC772" i="3" l="1"/>
  <c r="P772" i="3"/>
  <c r="Q772" i="3" s="1"/>
  <c r="R772" i="3" s="1"/>
  <c r="S772" i="3" s="1"/>
  <c r="Z772" i="3"/>
  <c r="AA772" i="3"/>
  <c r="AD772" i="3"/>
  <c r="U771" i="3"/>
  <c r="Y770" i="3"/>
  <c r="T772" i="3" l="1"/>
  <c r="D772" i="3" s="1"/>
  <c r="G772" i="3" l="1"/>
  <c r="AG772" i="3"/>
  <c r="AH772" i="3"/>
  <c r="E772" i="3"/>
  <c r="H772" i="3" s="1"/>
  <c r="K772" i="3" l="1"/>
  <c r="AE772" i="3" s="1"/>
  <c r="I772" i="3"/>
  <c r="J772" i="3"/>
  <c r="M772" i="3"/>
  <c r="N772" i="3" s="1"/>
  <c r="F772" i="3"/>
  <c r="V772" i="3" l="1"/>
  <c r="W772" i="3" s="1"/>
  <c r="A773" i="3"/>
  <c r="B773" i="3" s="1"/>
  <c r="L772" i="3"/>
  <c r="U772" i="3" l="1"/>
  <c r="Y771" i="3"/>
  <c r="Z773" i="3"/>
  <c r="AD773" i="3"/>
  <c r="AC773" i="3"/>
  <c r="AA773" i="3"/>
  <c r="P773" i="3"/>
  <c r="Q773" i="3" s="1"/>
  <c r="R773" i="3" s="1"/>
  <c r="S773" i="3" s="1"/>
  <c r="T773" i="3" l="1"/>
  <c r="E773" i="3" s="1"/>
  <c r="H773" i="3" s="1"/>
  <c r="AH773" i="3" l="1"/>
  <c r="AG773" i="3"/>
  <c r="K773" i="3"/>
  <c r="AE773" i="3" s="1"/>
  <c r="D773" i="3"/>
  <c r="F773" i="3" l="1"/>
  <c r="G773" i="3"/>
  <c r="V773" i="3"/>
  <c r="A774" i="3"/>
  <c r="B774" i="3" s="1"/>
  <c r="AC774" i="3" l="1"/>
  <c r="P774" i="3"/>
  <c r="Q774" i="3" s="1"/>
  <c r="R774" i="3" s="1"/>
  <c r="S774" i="3" s="1"/>
  <c r="AA774" i="3"/>
  <c r="Z774" i="3"/>
  <c r="I773" i="3"/>
  <c r="W773" i="3" s="1"/>
  <c r="J773" i="3"/>
  <c r="M773" i="3"/>
  <c r="N773" i="3" s="1"/>
  <c r="L773" i="3" l="1"/>
  <c r="T774" i="3"/>
  <c r="AG774" i="3" l="1"/>
  <c r="U773" i="3"/>
  <c r="E774" i="3" s="1"/>
  <c r="H774" i="3" s="1"/>
  <c r="AH774" i="3"/>
  <c r="Y772" i="3"/>
  <c r="D774" i="3" l="1"/>
  <c r="F774" i="3" s="1"/>
  <c r="K774" i="3"/>
  <c r="AE774" i="3" s="1"/>
  <c r="G774" i="3" l="1"/>
  <c r="I774" i="3" s="1"/>
  <c r="V774" i="3"/>
  <c r="A775" i="3"/>
  <c r="B775" i="3" s="1"/>
  <c r="M774" i="3" l="1"/>
  <c r="N774" i="3" s="1"/>
  <c r="J774" i="3"/>
  <c r="AD774" i="3" s="1"/>
  <c r="AC775" i="3"/>
  <c r="Z775" i="3"/>
  <c r="AD775" i="3"/>
  <c r="AA775" i="3"/>
  <c r="P775" i="3"/>
  <c r="Q775" i="3" s="1"/>
  <c r="R775" i="3" s="1"/>
  <c r="S775" i="3" s="1"/>
  <c r="W774" i="3"/>
  <c r="L774" i="3" l="1"/>
  <c r="U774" i="3" s="1"/>
  <c r="T775" i="3"/>
  <c r="Y773" i="3" l="1"/>
  <c r="AG775" i="3"/>
  <c r="D775" i="3"/>
  <c r="G775" i="3" s="1"/>
  <c r="E775" i="3"/>
  <c r="H775" i="3" s="1"/>
  <c r="AH775" i="3"/>
  <c r="K775" i="3" l="1"/>
  <c r="AE775" i="3" s="1"/>
  <c r="I775" i="3"/>
  <c r="J775" i="3"/>
  <c r="M775" i="3"/>
  <c r="N775" i="3" s="1"/>
  <c r="F775" i="3"/>
  <c r="V775" i="3" l="1"/>
  <c r="W775" i="3" s="1"/>
  <c r="A776" i="3"/>
  <c r="B776" i="3" s="1"/>
  <c r="L775" i="3"/>
  <c r="U775" i="3" l="1"/>
  <c r="Y774" i="3"/>
  <c r="AD776" i="3"/>
  <c r="Z776" i="3"/>
  <c r="P776" i="3"/>
  <c r="Q776" i="3" s="1"/>
  <c r="R776" i="3" s="1"/>
  <c r="S776" i="3" s="1"/>
  <c r="AC776" i="3"/>
  <c r="AA776" i="3"/>
  <c r="T776" i="3" l="1"/>
  <c r="D776" i="3" s="1"/>
  <c r="E776" i="3" l="1"/>
  <c r="H776" i="3" s="1"/>
  <c r="K776" i="3" s="1"/>
  <c r="AE776" i="3" s="1"/>
  <c r="AG776" i="3"/>
  <c r="AH776" i="3"/>
  <c r="G776" i="3"/>
  <c r="F776" i="3" l="1"/>
  <c r="V776" i="3"/>
  <c r="A777" i="3"/>
  <c r="B777" i="3" s="1"/>
  <c r="I776" i="3"/>
  <c r="J776" i="3"/>
  <c r="M776" i="3"/>
  <c r="N776" i="3" s="1"/>
  <c r="AD777" i="3" l="1"/>
  <c r="AC777" i="3"/>
  <c r="Z777" i="3"/>
  <c r="AA777" i="3"/>
  <c r="P777" i="3"/>
  <c r="Q777" i="3" s="1"/>
  <c r="R777" i="3" s="1"/>
  <c r="S777" i="3" s="1"/>
  <c r="L776" i="3"/>
  <c r="W776" i="3"/>
  <c r="T777" i="3" l="1"/>
  <c r="AH777" i="3" s="1"/>
  <c r="U776" i="3"/>
  <c r="Y775" i="3"/>
  <c r="E777" i="3" l="1"/>
  <c r="H777" i="3" s="1"/>
  <c r="K777" i="3" s="1"/>
  <c r="AE777" i="3" s="1"/>
  <c r="D777" i="3"/>
  <c r="G777" i="3" s="1"/>
  <c r="AG777" i="3"/>
  <c r="F777" i="3" l="1"/>
  <c r="I777" i="3"/>
  <c r="J777" i="3"/>
  <c r="M777" i="3"/>
  <c r="N777" i="3" s="1"/>
  <c r="V777" i="3"/>
  <c r="A778" i="3"/>
  <c r="B778" i="3" s="1"/>
  <c r="W777" i="3" l="1"/>
  <c r="P778" i="3"/>
  <c r="Q778" i="3" s="1"/>
  <c r="R778" i="3" s="1"/>
  <c r="S778" i="3" s="1"/>
  <c r="AC778" i="3"/>
  <c r="AA778" i="3"/>
  <c r="Z778" i="3"/>
  <c r="AD778" i="3"/>
  <c r="L777" i="3"/>
  <c r="U777" i="3" l="1"/>
  <c r="Y776" i="3"/>
  <c r="T778" i="3"/>
  <c r="E778" i="3" l="1"/>
  <c r="H778" i="3" s="1"/>
  <c r="K778" i="3" s="1"/>
  <c r="AE778" i="3" s="1"/>
  <c r="AH778" i="3"/>
  <c r="D778" i="3"/>
  <c r="AG778" i="3"/>
  <c r="F778" i="3" l="1"/>
  <c r="G778" i="3"/>
  <c r="V778" i="3"/>
  <c r="A779" i="3"/>
  <c r="B779" i="3" s="1"/>
  <c r="AD779" i="3" l="1"/>
  <c r="AC779" i="3"/>
  <c r="Z779" i="3"/>
  <c r="AA779" i="3"/>
  <c r="P779" i="3"/>
  <c r="Q779" i="3" s="1"/>
  <c r="R779" i="3" s="1"/>
  <c r="S779" i="3" s="1"/>
  <c r="I778" i="3"/>
  <c r="W778" i="3" s="1"/>
  <c r="J778" i="3"/>
  <c r="M778" i="3"/>
  <c r="N778" i="3" s="1"/>
  <c r="T779" i="3" l="1"/>
  <c r="L778" i="3"/>
  <c r="AG779" i="3" l="1"/>
  <c r="AH779" i="3"/>
  <c r="U778" i="3"/>
  <c r="D779" i="3" s="1"/>
  <c r="Y777" i="3"/>
  <c r="G779" i="3" l="1"/>
  <c r="E779" i="3"/>
  <c r="H779" i="3" s="1"/>
  <c r="K779" i="3" l="1"/>
  <c r="AE779" i="3" s="1"/>
  <c r="I779" i="3"/>
  <c r="J779" i="3"/>
  <c r="M779" i="3"/>
  <c r="N779" i="3" s="1"/>
  <c r="F779" i="3"/>
  <c r="L779" i="3" l="1"/>
  <c r="V779" i="3"/>
  <c r="W779" i="3" s="1"/>
  <c r="A780" i="3"/>
  <c r="B780" i="3" s="1"/>
  <c r="P780" i="3" l="1"/>
  <c r="Q780" i="3" s="1"/>
  <c r="R780" i="3" s="1"/>
  <c r="S780" i="3" s="1"/>
  <c r="AC780" i="3"/>
  <c r="AD780" i="3"/>
  <c r="AA780" i="3"/>
  <c r="Z780" i="3"/>
  <c r="U779" i="3"/>
  <c r="Y778" i="3"/>
  <c r="T780" i="3" l="1"/>
  <c r="D780" i="3" l="1"/>
  <c r="AH780" i="3"/>
  <c r="AG780" i="3"/>
  <c r="E780" i="3"/>
  <c r="H780" i="3" s="1"/>
  <c r="K780" i="3" l="1"/>
  <c r="AE780" i="3" s="1"/>
  <c r="F780" i="3"/>
  <c r="G780" i="3"/>
  <c r="I780" i="3" l="1"/>
  <c r="J780" i="3"/>
  <c r="M780" i="3"/>
  <c r="N780" i="3" s="1"/>
  <c r="V780" i="3"/>
  <c r="A781" i="3"/>
  <c r="B781" i="3" s="1"/>
  <c r="W780" i="3" l="1"/>
  <c r="AD781" i="3"/>
  <c r="Z781" i="3"/>
  <c r="AA781" i="3"/>
  <c r="AC781" i="3"/>
  <c r="P781" i="3"/>
  <c r="Q781" i="3" s="1"/>
  <c r="R781" i="3" s="1"/>
  <c r="S781" i="3" s="1"/>
  <c r="L780" i="3"/>
  <c r="T781" i="3" l="1"/>
  <c r="AH781" i="3" s="1"/>
  <c r="U780" i="3"/>
  <c r="Y779" i="3"/>
  <c r="E781" i="3" l="1"/>
  <c r="H781" i="3" s="1"/>
  <c r="K781" i="3" s="1"/>
  <c r="AE781" i="3" s="1"/>
  <c r="AG781" i="3"/>
  <c r="D781" i="3"/>
  <c r="F781" i="3" l="1"/>
  <c r="G781" i="3"/>
  <c r="V781" i="3"/>
  <c r="A782" i="3"/>
  <c r="B782" i="3" s="1"/>
  <c r="AC782" i="3" l="1"/>
  <c r="AD782" i="3"/>
  <c r="Z782" i="3"/>
  <c r="AA782" i="3"/>
  <c r="P782" i="3"/>
  <c r="Q782" i="3" s="1"/>
  <c r="R782" i="3" s="1"/>
  <c r="S782" i="3" s="1"/>
  <c r="I781" i="3"/>
  <c r="W781" i="3" s="1"/>
  <c r="J781" i="3"/>
  <c r="M781" i="3"/>
  <c r="N781" i="3" s="1"/>
  <c r="T782" i="3" l="1"/>
  <c r="L781" i="3"/>
  <c r="AH782" i="3" l="1"/>
  <c r="AG782" i="3"/>
  <c r="U781" i="3"/>
  <c r="E782" i="3" s="1"/>
  <c r="H782" i="3" s="1"/>
  <c r="Y780" i="3"/>
  <c r="D782" i="3" l="1"/>
  <c r="F782" i="3" s="1"/>
  <c r="K782" i="3"/>
  <c r="AE782" i="3" s="1"/>
  <c r="G782" i="3" l="1"/>
  <c r="I782" i="3" s="1"/>
  <c r="V782" i="3"/>
  <c r="A783" i="3"/>
  <c r="B783" i="3" s="1"/>
  <c r="M782" i="3" l="1"/>
  <c r="N782" i="3" s="1"/>
  <c r="J782" i="3"/>
  <c r="L782" i="3" s="1"/>
  <c r="W782" i="3"/>
  <c r="Z783" i="3"/>
  <c r="P783" i="3"/>
  <c r="Q783" i="3" s="1"/>
  <c r="R783" i="3" s="1"/>
  <c r="S783" i="3" s="1"/>
  <c r="AD783" i="3"/>
  <c r="AA783" i="3"/>
  <c r="AC783" i="3"/>
  <c r="T783" i="3" l="1"/>
  <c r="AH783" i="3" s="1"/>
  <c r="U782" i="3"/>
  <c r="Y781" i="3"/>
  <c r="E783" i="3" l="1"/>
  <c r="H783" i="3" s="1"/>
  <c r="K783" i="3" s="1"/>
  <c r="AE783" i="3" s="1"/>
  <c r="D783" i="3"/>
  <c r="AG783" i="3"/>
  <c r="F783" i="3" l="1"/>
  <c r="G783" i="3"/>
  <c r="I783" i="3" s="1"/>
  <c r="V783" i="3"/>
  <c r="A784" i="3"/>
  <c r="B784" i="3" s="1"/>
  <c r="M783" i="3" l="1"/>
  <c r="N783" i="3" s="1"/>
  <c r="J783" i="3"/>
  <c r="L783" i="3" s="1"/>
  <c r="W783" i="3"/>
  <c r="P784" i="3"/>
  <c r="Q784" i="3" s="1"/>
  <c r="R784" i="3" s="1"/>
  <c r="S784" i="3" s="1"/>
  <c r="AC784" i="3"/>
  <c r="AA784" i="3"/>
  <c r="Z784" i="3"/>
  <c r="U783" i="3" l="1"/>
  <c r="Y782" i="3"/>
  <c r="T784" i="3"/>
  <c r="E784" i="3" l="1"/>
  <c r="H784" i="3" s="1"/>
  <c r="K784" i="3" s="1"/>
  <c r="AE784" i="3" s="1"/>
  <c r="AH784" i="3"/>
  <c r="AG784" i="3"/>
  <c r="D784" i="3"/>
  <c r="F784" i="3" l="1"/>
  <c r="G784" i="3"/>
  <c r="J784" i="3" s="1"/>
  <c r="AD784" i="3" s="1"/>
  <c r="V784" i="3"/>
  <c r="A785" i="3"/>
  <c r="B785" i="3" s="1"/>
  <c r="M784" i="3" l="1"/>
  <c r="N784" i="3" s="1"/>
  <c r="I784" i="3"/>
  <c r="W784" i="3" s="1"/>
  <c r="AC785" i="3"/>
  <c r="P785" i="3"/>
  <c r="Q785" i="3" s="1"/>
  <c r="R785" i="3" s="1"/>
  <c r="S785" i="3" s="1"/>
  <c r="AD785" i="3"/>
  <c r="Z785" i="3"/>
  <c r="AA785" i="3"/>
  <c r="L784" i="3"/>
  <c r="T785" i="3" l="1"/>
  <c r="AG785" i="3" s="1"/>
  <c r="U784" i="3"/>
  <c r="Y783" i="3"/>
  <c r="AH785" i="3" l="1"/>
  <c r="D785" i="3"/>
  <c r="G785" i="3" s="1"/>
  <c r="E785" i="3"/>
  <c r="H785" i="3" s="1"/>
  <c r="K785" i="3" s="1"/>
  <c r="AE785" i="3" s="1"/>
  <c r="F785" i="3" l="1"/>
  <c r="I785" i="3"/>
  <c r="J785" i="3"/>
  <c r="M785" i="3"/>
  <c r="N785" i="3" s="1"/>
  <c r="V785" i="3"/>
  <c r="W785" i="3" s="1"/>
  <c r="A786" i="3"/>
  <c r="B786" i="3" s="1"/>
  <c r="P786" i="3" l="1"/>
  <c r="Q786" i="3" s="1"/>
  <c r="R786" i="3" s="1"/>
  <c r="S786" i="3" s="1"/>
  <c r="Z786" i="3"/>
  <c r="AA786" i="3"/>
  <c r="AC786" i="3"/>
  <c r="AD786" i="3"/>
  <c r="L785" i="3"/>
  <c r="U785" i="3" l="1"/>
  <c r="Y784" i="3"/>
  <c r="T786" i="3"/>
  <c r="AG786" i="3" s="1"/>
  <c r="D786" i="3" l="1"/>
  <c r="G786" i="3" s="1"/>
  <c r="AH786" i="3"/>
  <c r="E786" i="3"/>
  <c r="H786" i="3" s="1"/>
  <c r="K786" i="3" s="1"/>
  <c r="AE786" i="3" s="1"/>
  <c r="F786" i="3" l="1"/>
  <c r="I786" i="3"/>
  <c r="J786" i="3"/>
  <c r="M786" i="3"/>
  <c r="N786" i="3" s="1"/>
  <c r="V786" i="3"/>
  <c r="W786" i="3" s="1"/>
  <c r="A787" i="3"/>
  <c r="B787" i="3" s="1"/>
  <c r="P787" i="3" l="1"/>
  <c r="Q787" i="3" s="1"/>
  <c r="R787" i="3" s="1"/>
  <c r="S787" i="3" s="1"/>
  <c r="AC787" i="3"/>
  <c r="AD787" i="3"/>
  <c r="Z787" i="3"/>
  <c r="AA787" i="3"/>
  <c r="L786" i="3"/>
  <c r="T787" i="3" l="1"/>
  <c r="AH787" i="3" s="1"/>
  <c r="U786" i="3"/>
  <c r="Y785" i="3"/>
  <c r="E787" i="3" l="1"/>
  <c r="H787" i="3" s="1"/>
  <c r="K787" i="3" s="1"/>
  <c r="AE787" i="3" s="1"/>
  <c r="AG787" i="3"/>
  <c r="D787" i="3"/>
  <c r="F787" i="3" l="1"/>
  <c r="G787" i="3"/>
  <c r="V787" i="3"/>
  <c r="A788" i="3"/>
  <c r="B788" i="3" s="1"/>
  <c r="I787" i="3" l="1"/>
  <c r="W787" i="3" s="1"/>
  <c r="J787" i="3"/>
  <c r="M787" i="3"/>
  <c r="N787" i="3" s="1"/>
  <c r="Z788" i="3"/>
  <c r="AC788" i="3"/>
  <c r="AD788" i="3"/>
  <c r="AA788" i="3"/>
  <c r="P788" i="3"/>
  <c r="Q788" i="3" s="1"/>
  <c r="R788" i="3" s="1"/>
  <c r="S788" i="3" s="1"/>
  <c r="T788" i="3" l="1"/>
  <c r="L787" i="3"/>
  <c r="U787" i="3" l="1"/>
  <c r="D788" i="3" s="1"/>
  <c r="AG788" i="3"/>
  <c r="AH788" i="3"/>
  <c r="Y786" i="3"/>
  <c r="E788" i="3" l="1"/>
  <c r="H788" i="3" s="1"/>
  <c r="K788" i="3" s="1"/>
  <c r="AE788" i="3" s="1"/>
  <c r="G788" i="3"/>
  <c r="F788" i="3" l="1"/>
  <c r="V788" i="3"/>
  <c r="A789" i="3"/>
  <c r="B789" i="3" s="1"/>
  <c r="I788" i="3"/>
  <c r="J788" i="3"/>
  <c r="M788" i="3"/>
  <c r="N788" i="3" s="1"/>
  <c r="L788" i="3" l="1"/>
  <c r="AC789" i="3"/>
  <c r="AD789" i="3"/>
  <c r="AA789" i="3"/>
  <c r="P789" i="3"/>
  <c r="Q789" i="3" s="1"/>
  <c r="R789" i="3" s="1"/>
  <c r="S789" i="3" s="1"/>
  <c r="Z789" i="3"/>
  <c r="W788" i="3"/>
  <c r="U788" i="3" l="1"/>
  <c r="Y787" i="3"/>
  <c r="T789" i="3"/>
  <c r="E789" i="3" l="1"/>
  <c r="H789" i="3" s="1"/>
  <c r="K789" i="3" s="1"/>
  <c r="AE789" i="3" s="1"/>
  <c r="D789" i="3"/>
  <c r="G789" i="3" s="1"/>
  <c r="AG789" i="3"/>
  <c r="AH789" i="3"/>
  <c r="F789" i="3" l="1"/>
  <c r="I789" i="3"/>
  <c r="J789" i="3"/>
  <c r="M789" i="3"/>
  <c r="N789" i="3" s="1"/>
  <c r="V789" i="3"/>
  <c r="A790" i="3"/>
  <c r="B790" i="3" s="1"/>
  <c r="W789" i="3" l="1"/>
  <c r="AD790" i="3"/>
  <c r="P790" i="3"/>
  <c r="Q790" i="3" s="1"/>
  <c r="R790" i="3" s="1"/>
  <c r="S790" i="3" s="1"/>
  <c r="AC790" i="3"/>
  <c r="Z790" i="3"/>
  <c r="AA790" i="3"/>
  <c r="L789" i="3"/>
  <c r="T790" i="3" l="1"/>
  <c r="AH790" i="3" s="1"/>
  <c r="U789" i="3"/>
  <c r="Y788" i="3"/>
  <c r="D790" i="3" l="1"/>
  <c r="G790" i="3" s="1"/>
  <c r="E790" i="3"/>
  <c r="H790" i="3" s="1"/>
  <c r="K790" i="3" s="1"/>
  <c r="AE790" i="3" s="1"/>
  <c r="AG790" i="3"/>
  <c r="F790" i="3" l="1"/>
  <c r="I790" i="3"/>
  <c r="J790" i="3"/>
  <c r="M790" i="3"/>
  <c r="N790" i="3" s="1"/>
  <c r="V790" i="3"/>
  <c r="A791" i="3"/>
  <c r="B791" i="3" s="1"/>
  <c r="W790" i="3" l="1"/>
  <c r="Z791" i="3"/>
  <c r="AA791" i="3"/>
  <c r="P791" i="3"/>
  <c r="Q791" i="3" s="1"/>
  <c r="R791" i="3" s="1"/>
  <c r="S791" i="3" s="1"/>
  <c r="AD791" i="3"/>
  <c r="AC791" i="3"/>
  <c r="L790" i="3"/>
  <c r="U790" i="3" l="1"/>
  <c r="Y789" i="3"/>
  <c r="T791" i="3"/>
  <c r="AG791" i="3" s="1"/>
  <c r="E791" i="3" l="1"/>
  <c r="H791" i="3" s="1"/>
  <c r="K791" i="3" s="1"/>
  <c r="AE791" i="3" s="1"/>
  <c r="D791" i="3"/>
  <c r="G791" i="3" s="1"/>
  <c r="AH791" i="3"/>
  <c r="F791" i="3" l="1"/>
  <c r="V791" i="3"/>
  <c r="A792" i="3"/>
  <c r="B792" i="3" s="1"/>
  <c r="I791" i="3"/>
  <c r="J791" i="3"/>
  <c r="M791" i="3"/>
  <c r="N791" i="3" s="1"/>
  <c r="L791" i="3" l="1"/>
  <c r="AC792" i="3"/>
  <c r="AD792" i="3"/>
  <c r="Z792" i="3"/>
  <c r="AA792" i="3"/>
  <c r="P792" i="3"/>
  <c r="Q792" i="3" s="1"/>
  <c r="R792" i="3" s="1"/>
  <c r="S792" i="3" s="1"/>
  <c r="W791" i="3"/>
  <c r="T792" i="3" l="1"/>
  <c r="AG792" i="3" s="1"/>
  <c r="U791" i="3"/>
  <c r="Y790" i="3"/>
  <c r="E792" i="3" l="1"/>
  <c r="H792" i="3" s="1"/>
  <c r="K792" i="3" s="1"/>
  <c r="AE792" i="3" s="1"/>
  <c r="AH792" i="3"/>
  <c r="D792" i="3"/>
  <c r="G792" i="3" s="1"/>
  <c r="F792" i="3" l="1"/>
  <c r="V792" i="3"/>
  <c r="A793" i="3"/>
  <c r="B793" i="3" s="1"/>
  <c r="I792" i="3"/>
  <c r="J792" i="3"/>
  <c r="M792" i="3"/>
  <c r="N792" i="3" s="1"/>
  <c r="AA793" i="3" l="1"/>
  <c r="AC793" i="3"/>
  <c r="Z793" i="3"/>
  <c r="P793" i="3"/>
  <c r="Q793" i="3" s="1"/>
  <c r="R793" i="3" s="1"/>
  <c r="S793" i="3" s="1"/>
  <c r="AD793" i="3"/>
  <c r="L792" i="3"/>
  <c r="W792" i="3"/>
  <c r="T793" i="3" l="1"/>
  <c r="AH793" i="3" s="1"/>
  <c r="U792" i="3"/>
  <c r="Y791" i="3"/>
  <c r="E793" i="3" l="1"/>
  <c r="H793" i="3" s="1"/>
  <c r="K793" i="3" s="1"/>
  <c r="AE793" i="3" s="1"/>
  <c r="AG793" i="3"/>
  <c r="D793" i="3"/>
  <c r="G793" i="3" s="1"/>
  <c r="F793" i="3" l="1"/>
  <c r="I793" i="3"/>
  <c r="J793" i="3"/>
  <c r="M793" i="3"/>
  <c r="N793" i="3" s="1"/>
  <c r="V793" i="3"/>
  <c r="A794" i="3"/>
  <c r="B794" i="3" s="1"/>
  <c r="W793" i="3" l="1"/>
  <c r="P794" i="3"/>
  <c r="Q794" i="3" s="1"/>
  <c r="R794" i="3" s="1"/>
  <c r="S794" i="3" s="1"/>
  <c r="AA794" i="3"/>
  <c r="AC794" i="3"/>
  <c r="Z794" i="3"/>
  <c r="L793" i="3"/>
  <c r="U793" i="3" l="1"/>
  <c r="Y792" i="3"/>
  <c r="T794" i="3"/>
  <c r="AH794" i="3" s="1"/>
  <c r="AG794" i="3" l="1"/>
  <c r="E794" i="3"/>
  <c r="H794" i="3" s="1"/>
  <c r="D794" i="3"/>
  <c r="F794" i="3" l="1"/>
  <c r="G794" i="3"/>
  <c r="K794" i="3"/>
  <c r="AE794" i="3" s="1"/>
  <c r="V794" i="3" l="1"/>
  <c r="A795" i="3"/>
  <c r="B795" i="3" s="1"/>
  <c r="I794" i="3"/>
  <c r="J794" i="3"/>
  <c r="AD794" i="3" s="1"/>
  <c r="M794" i="3"/>
  <c r="N794" i="3" s="1"/>
  <c r="L794" i="3" l="1"/>
  <c r="W794" i="3"/>
  <c r="AD795" i="3"/>
  <c r="Z795" i="3"/>
  <c r="AA795" i="3"/>
  <c r="AC795" i="3"/>
  <c r="P795" i="3"/>
  <c r="Q795" i="3" s="1"/>
  <c r="R795" i="3" s="1"/>
  <c r="S795" i="3" s="1"/>
  <c r="T795" i="3" l="1"/>
  <c r="AH795" i="3" s="1"/>
  <c r="U794" i="3"/>
  <c r="Y793" i="3"/>
  <c r="E795" i="3" l="1"/>
  <c r="H795" i="3" s="1"/>
  <c r="K795" i="3" s="1"/>
  <c r="AE795" i="3" s="1"/>
  <c r="AG795" i="3"/>
  <c r="D795" i="3"/>
  <c r="F795" i="3" l="1"/>
  <c r="G795" i="3"/>
  <c r="I795" i="3" s="1"/>
  <c r="V795" i="3"/>
  <c r="A796" i="3"/>
  <c r="B796" i="3" s="1"/>
  <c r="M795" i="3" l="1"/>
  <c r="N795" i="3" s="1"/>
  <c r="J795" i="3"/>
  <c r="L795" i="3" s="1"/>
  <c r="AD796" i="3"/>
  <c r="AA796" i="3"/>
  <c r="AC796" i="3"/>
  <c r="Z796" i="3"/>
  <c r="P796" i="3"/>
  <c r="Q796" i="3" s="1"/>
  <c r="R796" i="3" s="1"/>
  <c r="S796" i="3" s="1"/>
  <c r="W795" i="3"/>
  <c r="T796" i="3" l="1"/>
  <c r="AG796" i="3" s="1"/>
  <c r="U795" i="3"/>
  <c r="Y794" i="3"/>
  <c r="AH796" i="3" l="1"/>
  <c r="E796" i="3"/>
  <c r="H796" i="3" s="1"/>
  <c r="D796" i="3"/>
  <c r="F796" i="3" l="1"/>
  <c r="G796" i="3"/>
  <c r="K796" i="3"/>
  <c r="AE796" i="3" s="1"/>
  <c r="V796" i="3" l="1"/>
  <c r="A797" i="3"/>
  <c r="B797" i="3" s="1"/>
  <c r="I796" i="3"/>
  <c r="J796" i="3"/>
  <c r="M796" i="3"/>
  <c r="N796" i="3" s="1"/>
  <c r="P797" i="3" l="1"/>
  <c r="Q797" i="3" s="1"/>
  <c r="R797" i="3" s="1"/>
  <c r="S797" i="3" s="1"/>
  <c r="Z797" i="3"/>
  <c r="AD797" i="3"/>
  <c r="AA797" i="3"/>
  <c r="AC797" i="3"/>
  <c r="L796" i="3"/>
  <c r="W796" i="3"/>
  <c r="U796" i="3" l="1"/>
  <c r="Y795" i="3"/>
  <c r="T797" i="3"/>
  <c r="E797" i="3" l="1"/>
  <c r="H797" i="3" s="1"/>
  <c r="K797" i="3" s="1"/>
  <c r="AE797" i="3" s="1"/>
  <c r="AG797" i="3"/>
  <c r="D797" i="3"/>
  <c r="AH797" i="3"/>
  <c r="F797" i="3" l="1"/>
  <c r="G797" i="3"/>
  <c r="V797" i="3"/>
  <c r="A798" i="3"/>
  <c r="B798" i="3" s="1"/>
  <c r="AC798" i="3" l="1"/>
  <c r="P798" i="3"/>
  <c r="Q798" i="3" s="1"/>
  <c r="R798" i="3" s="1"/>
  <c r="S798" i="3" s="1"/>
  <c r="Z798" i="3"/>
  <c r="AD798" i="3"/>
  <c r="AA798" i="3"/>
  <c r="I797" i="3"/>
  <c r="W797" i="3" s="1"/>
  <c r="J797" i="3"/>
  <c r="M797" i="3"/>
  <c r="N797" i="3" s="1"/>
  <c r="L797" i="3" l="1"/>
  <c r="T798" i="3"/>
  <c r="AH798" i="3" l="1"/>
  <c r="AG798" i="3"/>
  <c r="U797" i="3"/>
  <c r="E798" i="3" s="1"/>
  <c r="H798" i="3" s="1"/>
  <c r="Y796" i="3"/>
  <c r="D798" i="3" l="1"/>
  <c r="G798" i="3" s="1"/>
  <c r="K798" i="3"/>
  <c r="AE798" i="3" s="1"/>
  <c r="F798" i="3" l="1"/>
  <c r="I798" i="3"/>
  <c r="J798" i="3"/>
  <c r="M798" i="3"/>
  <c r="N798" i="3" s="1"/>
  <c r="V798" i="3"/>
  <c r="A799" i="3"/>
  <c r="B799" i="3" s="1"/>
  <c r="W798" i="3" l="1"/>
  <c r="AA799" i="3"/>
  <c r="AC799" i="3"/>
  <c r="AD799" i="3"/>
  <c r="Z799" i="3"/>
  <c r="P799" i="3"/>
  <c r="Q799" i="3" s="1"/>
  <c r="R799" i="3" s="1"/>
  <c r="S799" i="3" s="1"/>
  <c r="L798" i="3"/>
  <c r="T799" i="3" l="1"/>
  <c r="AH799" i="3" s="1"/>
  <c r="U798" i="3"/>
  <c r="Y797" i="3"/>
  <c r="E799" i="3" l="1"/>
  <c r="H799" i="3" s="1"/>
  <c r="K799" i="3" s="1"/>
  <c r="AE799" i="3" s="1"/>
  <c r="AG799" i="3"/>
  <c r="D799" i="3"/>
  <c r="F799" i="3" l="1"/>
  <c r="G799" i="3"/>
  <c r="I799" i="3" s="1"/>
  <c r="V799" i="3"/>
  <c r="A800" i="3"/>
  <c r="B800" i="3" s="1"/>
  <c r="M799" i="3" l="1"/>
  <c r="N799" i="3" s="1"/>
  <c r="J799" i="3"/>
  <c r="L799" i="3" s="1"/>
  <c r="AC800" i="3"/>
  <c r="Z800" i="3"/>
  <c r="AA800" i="3"/>
  <c r="AD800" i="3"/>
  <c r="P800" i="3"/>
  <c r="Q800" i="3" s="1"/>
  <c r="R800" i="3" s="1"/>
  <c r="S800" i="3" s="1"/>
  <c r="W799" i="3"/>
  <c r="T800" i="3" l="1"/>
  <c r="AG800" i="3" s="1"/>
  <c r="U799" i="3"/>
  <c r="Y798" i="3"/>
  <c r="E800" i="3" l="1"/>
  <c r="H800" i="3" s="1"/>
  <c r="K800" i="3" s="1"/>
  <c r="AE800" i="3" s="1"/>
  <c r="AH800" i="3"/>
  <c r="D800" i="3"/>
  <c r="F800" i="3" l="1"/>
  <c r="G800" i="3"/>
  <c r="V800" i="3"/>
  <c r="A801" i="3"/>
  <c r="B801" i="3" s="1"/>
  <c r="Z801" i="3" l="1"/>
  <c r="AD801" i="3"/>
  <c r="AC801" i="3"/>
  <c r="AA801" i="3"/>
  <c r="P801" i="3"/>
  <c r="Q801" i="3" s="1"/>
  <c r="R801" i="3" s="1"/>
  <c r="S801" i="3" s="1"/>
  <c r="I800" i="3"/>
  <c r="W800" i="3" s="1"/>
  <c r="J800" i="3"/>
  <c r="M800" i="3"/>
  <c r="N800" i="3" s="1"/>
  <c r="T801" i="3" l="1"/>
  <c r="L800" i="3"/>
  <c r="AG801" i="3" l="1"/>
  <c r="AH801" i="3"/>
  <c r="U800" i="3"/>
  <c r="D801" i="3" s="1"/>
  <c r="Y799" i="3"/>
  <c r="G801" i="3" l="1"/>
  <c r="E801" i="3"/>
  <c r="H801" i="3" s="1"/>
  <c r="K801" i="3" l="1"/>
  <c r="AE801" i="3" s="1"/>
  <c r="I801" i="3"/>
  <c r="J801" i="3"/>
  <c r="M801" i="3"/>
  <c r="N801" i="3" s="1"/>
  <c r="F801" i="3"/>
  <c r="L801" i="3" l="1"/>
  <c r="V801" i="3"/>
  <c r="W801" i="3" s="1"/>
  <c r="A802" i="3"/>
  <c r="B802" i="3" s="1"/>
  <c r="AC802" i="3" l="1"/>
  <c r="Z802" i="3"/>
  <c r="P802" i="3"/>
  <c r="Q802" i="3" s="1"/>
  <c r="R802" i="3" s="1"/>
  <c r="S802" i="3" s="1"/>
  <c r="AD802" i="3"/>
  <c r="AA802" i="3"/>
  <c r="U801" i="3"/>
  <c r="Y800" i="3"/>
  <c r="T802" i="3" l="1"/>
  <c r="AG802" i="3" s="1"/>
  <c r="D802" i="3" l="1"/>
  <c r="G802" i="3" s="1"/>
  <c r="E802" i="3"/>
  <c r="H802" i="3" s="1"/>
  <c r="AH802" i="3"/>
  <c r="K802" i="3" l="1"/>
  <c r="AE802" i="3" s="1"/>
  <c r="I802" i="3"/>
  <c r="J802" i="3"/>
  <c r="M802" i="3"/>
  <c r="N802" i="3" s="1"/>
  <c r="F802" i="3"/>
  <c r="L802" i="3" l="1"/>
  <c r="V802" i="3"/>
  <c r="W802" i="3" s="1"/>
  <c r="A803" i="3"/>
  <c r="B803" i="3" s="1"/>
  <c r="AC803" i="3" l="1"/>
  <c r="Z803" i="3"/>
  <c r="AD803" i="3"/>
  <c r="AA803" i="3"/>
  <c r="P803" i="3"/>
  <c r="Q803" i="3" s="1"/>
  <c r="R803" i="3" s="1"/>
  <c r="S803" i="3" s="1"/>
  <c r="U802" i="3"/>
  <c r="Y801" i="3"/>
  <c r="T803" i="3" l="1"/>
  <c r="AG803" i="3" s="1"/>
  <c r="D803" i="3" l="1"/>
  <c r="G803" i="3" s="1"/>
  <c r="E803" i="3"/>
  <c r="H803" i="3" s="1"/>
  <c r="K803" i="3" s="1"/>
  <c r="AE803" i="3" s="1"/>
  <c r="AH803" i="3"/>
  <c r="F803" i="3" l="1"/>
  <c r="V803" i="3"/>
  <c r="A804" i="3"/>
  <c r="B804" i="3" s="1"/>
  <c r="I803" i="3"/>
  <c r="J803" i="3"/>
  <c r="M803" i="3"/>
  <c r="N803" i="3" s="1"/>
  <c r="L803" i="3" l="1"/>
  <c r="P804" i="3"/>
  <c r="Q804" i="3" s="1"/>
  <c r="R804" i="3" s="1"/>
  <c r="S804" i="3" s="1"/>
  <c r="Z804" i="3"/>
  <c r="AA804" i="3"/>
  <c r="AC804" i="3"/>
  <c r="W803" i="3"/>
  <c r="U803" i="3" l="1"/>
  <c r="Y802" i="3"/>
  <c r="T804" i="3"/>
  <c r="AG804" i="3" s="1"/>
  <c r="D804" i="3" l="1"/>
  <c r="G804" i="3" s="1"/>
  <c r="AH804" i="3"/>
  <c r="E804" i="3"/>
  <c r="H804" i="3" s="1"/>
  <c r="K804" i="3" s="1"/>
  <c r="AE804" i="3" s="1"/>
  <c r="F804" i="3" l="1"/>
  <c r="V804" i="3"/>
  <c r="A805" i="3"/>
  <c r="B805" i="3" s="1"/>
  <c r="I804" i="3"/>
  <c r="J804" i="3"/>
  <c r="AD804" i="3" s="1"/>
  <c r="M804" i="3"/>
  <c r="N804" i="3" s="1"/>
  <c r="L804" i="3" l="1"/>
  <c r="P805" i="3"/>
  <c r="Q805" i="3" s="1"/>
  <c r="R805" i="3" s="1"/>
  <c r="S805" i="3" s="1"/>
  <c r="Z805" i="3"/>
  <c r="AC805" i="3"/>
  <c r="AD805" i="3"/>
  <c r="AA805" i="3"/>
  <c r="W804" i="3"/>
  <c r="U804" i="3" l="1"/>
  <c r="Y803" i="3"/>
  <c r="T805" i="3"/>
  <c r="E805" i="3" l="1"/>
  <c r="H805" i="3" s="1"/>
  <c r="K805" i="3" s="1"/>
  <c r="AE805" i="3" s="1"/>
  <c r="D805" i="3"/>
  <c r="G805" i="3" s="1"/>
  <c r="AH805" i="3"/>
  <c r="AG805" i="3"/>
  <c r="F805" i="3" l="1"/>
  <c r="I805" i="3"/>
  <c r="J805" i="3"/>
  <c r="M805" i="3"/>
  <c r="N805" i="3" s="1"/>
  <c r="V805" i="3"/>
  <c r="A806" i="3"/>
  <c r="B806" i="3" s="1"/>
  <c r="W805" i="3" l="1"/>
  <c r="Z806" i="3"/>
  <c r="AA806" i="3"/>
  <c r="AD806" i="3"/>
  <c r="AC806" i="3"/>
  <c r="P806" i="3"/>
  <c r="Q806" i="3" s="1"/>
  <c r="R806" i="3" s="1"/>
  <c r="S806" i="3" s="1"/>
  <c r="L805" i="3"/>
  <c r="T806" i="3" l="1"/>
  <c r="AG806" i="3" s="1"/>
  <c r="U805" i="3"/>
  <c r="Y804" i="3"/>
  <c r="D806" i="3" l="1"/>
  <c r="G806" i="3" s="1"/>
  <c r="AH806" i="3"/>
  <c r="E806" i="3"/>
  <c r="H806" i="3" s="1"/>
  <c r="K806" i="3" s="1"/>
  <c r="AE806" i="3" s="1"/>
  <c r="F806" i="3" l="1"/>
  <c r="I806" i="3"/>
  <c r="J806" i="3"/>
  <c r="M806" i="3"/>
  <c r="N806" i="3" s="1"/>
  <c r="V806" i="3"/>
  <c r="A807" i="3"/>
  <c r="B807" i="3" s="1"/>
  <c r="W806" i="3" l="1"/>
  <c r="AC807" i="3"/>
  <c r="AD807" i="3"/>
  <c r="Z807" i="3"/>
  <c r="AA807" i="3"/>
  <c r="P807" i="3"/>
  <c r="Q807" i="3" s="1"/>
  <c r="R807" i="3" s="1"/>
  <c r="S807" i="3" s="1"/>
  <c r="L806" i="3"/>
  <c r="T807" i="3" l="1"/>
  <c r="AG807" i="3" s="1"/>
  <c r="U806" i="3"/>
  <c r="Y805" i="3"/>
  <c r="E807" i="3" l="1"/>
  <c r="H807" i="3" s="1"/>
  <c r="K807" i="3" s="1"/>
  <c r="AE807" i="3" s="1"/>
  <c r="AH807" i="3"/>
  <c r="D807" i="3"/>
  <c r="F807" i="3" l="1"/>
  <c r="G807" i="3"/>
  <c r="I807" i="3" s="1"/>
  <c r="V807" i="3"/>
  <c r="A808" i="3"/>
  <c r="B808" i="3" s="1"/>
  <c r="M807" i="3" l="1"/>
  <c r="N807" i="3" s="1"/>
  <c r="J807" i="3"/>
  <c r="L807" i="3" s="1"/>
  <c r="AA808" i="3"/>
  <c r="AC808" i="3"/>
  <c r="Z808" i="3"/>
  <c r="AD808" i="3"/>
  <c r="P808" i="3"/>
  <c r="Q808" i="3" s="1"/>
  <c r="R808" i="3" s="1"/>
  <c r="S808" i="3" s="1"/>
  <c r="W807" i="3"/>
  <c r="T808" i="3" l="1"/>
  <c r="AH808" i="3" s="1"/>
  <c r="U807" i="3"/>
  <c r="Y806" i="3"/>
  <c r="AG808" i="3" l="1"/>
  <c r="D808" i="3"/>
  <c r="G808" i="3" s="1"/>
  <c r="E808" i="3"/>
  <c r="H808" i="3" s="1"/>
  <c r="K808" i="3" s="1"/>
  <c r="AE808" i="3" s="1"/>
  <c r="F808" i="3" l="1"/>
  <c r="V808" i="3"/>
  <c r="A809" i="3"/>
  <c r="B809" i="3" s="1"/>
  <c r="I808" i="3"/>
  <c r="J808" i="3"/>
  <c r="M808" i="3"/>
  <c r="N808" i="3" s="1"/>
  <c r="L808" i="3" l="1"/>
  <c r="AD809" i="3"/>
  <c r="AC809" i="3"/>
  <c r="Z809" i="3"/>
  <c r="AA809" i="3"/>
  <c r="P809" i="3"/>
  <c r="Q809" i="3" s="1"/>
  <c r="R809" i="3" s="1"/>
  <c r="S809" i="3" s="1"/>
  <c r="W808" i="3"/>
  <c r="T809" i="3" l="1"/>
  <c r="AH809" i="3" s="1"/>
  <c r="U808" i="3"/>
  <c r="Y807" i="3"/>
  <c r="D809" i="3" l="1"/>
  <c r="G809" i="3" s="1"/>
  <c r="AG809" i="3"/>
  <c r="E809" i="3"/>
  <c r="H809" i="3" s="1"/>
  <c r="K809" i="3" s="1"/>
  <c r="AE809" i="3" s="1"/>
  <c r="F809" i="3" l="1"/>
  <c r="V809" i="3"/>
  <c r="A810" i="3"/>
  <c r="B810" i="3" s="1"/>
  <c r="I809" i="3"/>
  <c r="J809" i="3"/>
  <c r="M809" i="3"/>
  <c r="N809" i="3" s="1"/>
  <c r="L809" i="3" l="1"/>
  <c r="P810" i="3"/>
  <c r="Q810" i="3" s="1"/>
  <c r="R810" i="3" s="1"/>
  <c r="S810" i="3" s="1"/>
  <c r="Z810" i="3"/>
  <c r="AA810" i="3"/>
  <c r="AC810" i="3"/>
  <c r="AD810" i="3"/>
  <c r="W809" i="3"/>
  <c r="T810" i="3" l="1"/>
  <c r="AH810" i="3" s="1"/>
  <c r="U809" i="3"/>
  <c r="Y808" i="3"/>
  <c r="D810" i="3" l="1"/>
  <c r="G810" i="3" s="1"/>
  <c r="AG810" i="3"/>
  <c r="E810" i="3"/>
  <c r="H810" i="3" s="1"/>
  <c r="K810" i="3" s="1"/>
  <c r="AE810" i="3" s="1"/>
  <c r="F810" i="3" l="1"/>
  <c r="V810" i="3"/>
  <c r="A811" i="3"/>
  <c r="B811" i="3" s="1"/>
  <c r="I810" i="3"/>
  <c r="J810" i="3"/>
  <c r="M810" i="3"/>
  <c r="N810" i="3" s="1"/>
  <c r="L810" i="3" l="1"/>
  <c r="P811" i="3"/>
  <c r="Q811" i="3" s="1"/>
  <c r="R811" i="3" s="1"/>
  <c r="S811" i="3" s="1"/>
  <c r="AA811" i="3"/>
  <c r="AC811" i="3"/>
  <c r="AD811" i="3"/>
  <c r="Z811" i="3"/>
  <c r="W810" i="3"/>
  <c r="T811" i="3" l="1"/>
  <c r="AH811" i="3" s="1"/>
  <c r="U810" i="3"/>
  <c r="Y809" i="3"/>
  <c r="AG811" i="3" l="1"/>
  <c r="D811" i="3"/>
  <c r="E811" i="3"/>
  <c r="H811" i="3" s="1"/>
  <c r="K811" i="3" s="1"/>
  <c r="AE811" i="3" s="1"/>
  <c r="F811" i="3" l="1"/>
  <c r="G811" i="3"/>
  <c r="I811" i="3" s="1"/>
  <c r="V811" i="3"/>
  <c r="A812" i="3"/>
  <c r="B812" i="3" s="1"/>
  <c r="M811" i="3" l="1"/>
  <c r="N811" i="3" s="1"/>
  <c r="J811" i="3"/>
  <c r="L811" i="3" s="1"/>
  <c r="W811" i="3"/>
  <c r="AD812" i="3"/>
  <c r="AA812" i="3"/>
  <c r="Z812" i="3"/>
  <c r="P812" i="3"/>
  <c r="Q812" i="3" s="1"/>
  <c r="R812" i="3" s="1"/>
  <c r="S812" i="3" s="1"/>
  <c r="AC812" i="3"/>
  <c r="T812" i="3" l="1"/>
  <c r="AG812" i="3" s="1"/>
  <c r="U811" i="3"/>
  <c r="Y810" i="3"/>
  <c r="AH812" i="3" l="1"/>
  <c r="D812" i="3"/>
  <c r="G812" i="3" s="1"/>
  <c r="E812" i="3"/>
  <c r="H812" i="3" s="1"/>
  <c r="K812" i="3" s="1"/>
  <c r="AE812" i="3" s="1"/>
  <c r="F812" i="3" l="1"/>
  <c r="I812" i="3"/>
  <c r="J812" i="3"/>
  <c r="M812" i="3"/>
  <c r="N812" i="3" s="1"/>
  <c r="V812" i="3"/>
  <c r="A813" i="3"/>
  <c r="B813" i="3" s="1"/>
  <c r="W812" i="3" l="1"/>
  <c r="AA813" i="3"/>
  <c r="Z813" i="3"/>
  <c r="AC813" i="3"/>
  <c r="AD813" i="3"/>
  <c r="P813" i="3"/>
  <c r="Q813" i="3" s="1"/>
  <c r="R813" i="3" s="1"/>
  <c r="S813" i="3" s="1"/>
  <c r="L812" i="3"/>
  <c r="T813" i="3" l="1"/>
  <c r="AG813" i="3" s="1"/>
  <c r="U812" i="3"/>
  <c r="Y811" i="3"/>
  <c r="AH813" i="3" l="1"/>
  <c r="D813" i="3"/>
  <c r="G813" i="3" s="1"/>
  <c r="E813" i="3"/>
  <c r="H813" i="3" s="1"/>
  <c r="K813" i="3" l="1"/>
  <c r="AE813" i="3" s="1"/>
  <c r="I813" i="3"/>
  <c r="J813" i="3"/>
  <c r="M813" i="3"/>
  <c r="N813" i="3" s="1"/>
  <c r="F813" i="3"/>
  <c r="L813" i="3" l="1"/>
  <c r="V813" i="3"/>
  <c r="W813" i="3" s="1"/>
  <c r="A814" i="3"/>
  <c r="B814" i="3" s="1"/>
  <c r="AA814" i="3" l="1"/>
  <c r="AC814" i="3"/>
  <c r="Z814" i="3"/>
  <c r="P814" i="3"/>
  <c r="Q814" i="3" s="1"/>
  <c r="R814" i="3" s="1"/>
  <c r="S814" i="3" s="1"/>
  <c r="U813" i="3"/>
  <c r="Y812" i="3"/>
  <c r="T814" i="3" l="1"/>
  <c r="AH814" i="3" s="1"/>
  <c r="E814" i="3" l="1"/>
  <c r="H814" i="3" s="1"/>
  <c r="K814" i="3" s="1"/>
  <c r="AE814" i="3" s="1"/>
  <c r="D814" i="3"/>
  <c r="G814" i="3" s="1"/>
  <c r="AG814" i="3"/>
  <c r="F814" i="3" l="1"/>
  <c r="I814" i="3"/>
  <c r="J814" i="3"/>
  <c r="AD814" i="3" s="1"/>
  <c r="M814" i="3"/>
  <c r="N814" i="3" s="1"/>
  <c r="V814" i="3"/>
  <c r="A815" i="3"/>
  <c r="B815" i="3" s="1"/>
  <c r="W814" i="3" l="1"/>
  <c r="Z815" i="3"/>
  <c r="AA815" i="3"/>
  <c r="P815" i="3"/>
  <c r="Q815" i="3" s="1"/>
  <c r="R815" i="3" s="1"/>
  <c r="S815" i="3" s="1"/>
  <c r="AC815" i="3"/>
  <c r="L814" i="3"/>
  <c r="U814" i="3" l="1"/>
  <c r="Y813" i="3"/>
  <c r="T815" i="3"/>
  <c r="D815" i="3" l="1"/>
  <c r="G815" i="3" s="1"/>
  <c r="AG815" i="3"/>
  <c r="E815" i="3"/>
  <c r="H815" i="3" s="1"/>
  <c r="K815" i="3" s="1"/>
  <c r="AE815" i="3" s="1"/>
  <c r="AH815" i="3"/>
  <c r="F815" i="3" l="1"/>
  <c r="V815" i="3"/>
  <c r="A816" i="3"/>
  <c r="B816" i="3" s="1"/>
  <c r="I815" i="3"/>
  <c r="J815" i="3"/>
  <c r="AD815" i="3" s="1"/>
  <c r="M815" i="3"/>
  <c r="N815" i="3" s="1"/>
  <c r="L815" i="3" l="1"/>
  <c r="W815" i="3"/>
  <c r="P816" i="3"/>
  <c r="Q816" i="3" s="1"/>
  <c r="R816" i="3" s="1"/>
  <c r="S816" i="3" s="1"/>
  <c r="Z816" i="3"/>
  <c r="AA816" i="3"/>
  <c r="AC816" i="3"/>
  <c r="T816" i="3" l="1"/>
  <c r="AG816" i="3" s="1"/>
  <c r="U815" i="3"/>
  <c r="Y814" i="3"/>
  <c r="E816" i="3" l="1"/>
  <c r="H816" i="3" s="1"/>
  <c r="K816" i="3" s="1"/>
  <c r="AE816" i="3" s="1"/>
  <c r="D816" i="3"/>
  <c r="AH816" i="3"/>
  <c r="F816" i="3" l="1"/>
  <c r="G816" i="3"/>
  <c r="J816" i="3" s="1"/>
  <c r="AD816" i="3" s="1"/>
  <c r="V816" i="3"/>
  <c r="A817" i="3"/>
  <c r="B817" i="3" s="1"/>
  <c r="I816" i="3" l="1"/>
  <c r="W816" i="3" s="1"/>
  <c r="M816" i="3"/>
  <c r="N816" i="3" s="1"/>
  <c r="AA817" i="3"/>
  <c r="AC817" i="3"/>
  <c r="P817" i="3"/>
  <c r="Q817" i="3" s="1"/>
  <c r="R817" i="3" s="1"/>
  <c r="S817" i="3" s="1"/>
  <c r="Z817" i="3"/>
  <c r="L816" i="3"/>
  <c r="T817" i="3" l="1"/>
  <c r="AG817" i="3" s="1"/>
  <c r="U816" i="3"/>
  <c r="Y815" i="3"/>
  <c r="AH817" i="3" l="1"/>
  <c r="D817" i="3"/>
  <c r="G817" i="3" s="1"/>
  <c r="E817" i="3"/>
  <c r="H817" i="3" s="1"/>
  <c r="K817" i="3" s="1"/>
  <c r="AE817" i="3" s="1"/>
  <c r="F817" i="3" l="1"/>
  <c r="V817" i="3"/>
  <c r="A818" i="3"/>
  <c r="B818" i="3" s="1"/>
  <c r="I817" i="3"/>
  <c r="J817" i="3"/>
  <c r="AD817" i="3" s="1"/>
  <c r="M817" i="3"/>
  <c r="N817" i="3" s="1"/>
  <c r="L817" i="3" l="1"/>
  <c r="Z818" i="3"/>
  <c r="AA818" i="3"/>
  <c r="AC818" i="3"/>
  <c r="P818" i="3"/>
  <c r="Q818" i="3" s="1"/>
  <c r="R818" i="3" s="1"/>
  <c r="S818" i="3" s="1"/>
  <c r="W817" i="3"/>
  <c r="T818" i="3" l="1"/>
  <c r="AG818" i="3" s="1"/>
  <c r="U817" i="3"/>
  <c r="Y816" i="3"/>
  <c r="E818" i="3" l="1"/>
  <c r="H818" i="3" s="1"/>
  <c r="K818" i="3" s="1"/>
  <c r="AE818" i="3" s="1"/>
  <c r="AH818" i="3"/>
  <c r="D818" i="3"/>
  <c r="F818" i="3" l="1"/>
  <c r="G818" i="3"/>
  <c r="J818" i="3" s="1"/>
  <c r="AD818" i="3" s="1"/>
  <c r="V818" i="3"/>
  <c r="A819" i="3"/>
  <c r="B819" i="3" s="1"/>
  <c r="I818" i="3" l="1"/>
  <c r="W818" i="3" s="1"/>
  <c r="M818" i="3"/>
  <c r="N818" i="3" s="1"/>
  <c r="L818" i="3"/>
  <c r="Z819" i="3"/>
  <c r="AA819" i="3"/>
  <c r="P819" i="3"/>
  <c r="Q819" i="3" s="1"/>
  <c r="R819" i="3" s="1"/>
  <c r="S819" i="3" s="1"/>
  <c r="AC819" i="3"/>
  <c r="U818" i="3" l="1"/>
  <c r="Y817" i="3"/>
  <c r="T819" i="3"/>
  <c r="D819" i="3" l="1"/>
  <c r="G819" i="3" s="1"/>
  <c r="E819" i="3"/>
  <c r="H819" i="3" s="1"/>
  <c r="AG819" i="3"/>
  <c r="AH819" i="3"/>
  <c r="K819" i="3" l="1"/>
  <c r="AE819" i="3" s="1"/>
  <c r="I819" i="3"/>
  <c r="J819" i="3"/>
  <c r="AD819" i="3" s="1"/>
  <c r="M819" i="3"/>
  <c r="N819" i="3" s="1"/>
  <c r="F819" i="3"/>
  <c r="L819" i="3" l="1"/>
  <c r="V819" i="3"/>
  <c r="W819" i="3" s="1"/>
  <c r="A820" i="3"/>
  <c r="B820" i="3" s="1"/>
  <c r="Z820" i="3" l="1"/>
  <c r="AA820" i="3"/>
  <c r="AC820" i="3"/>
  <c r="P820" i="3"/>
  <c r="Q820" i="3" s="1"/>
  <c r="R820" i="3" s="1"/>
  <c r="S820" i="3" s="1"/>
  <c r="U819" i="3"/>
  <c r="Y818" i="3"/>
  <c r="T820" i="3" l="1"/>
  <c r="AG820" i="3" s="1"/>
  <c r="D820" i="3" l="1"/>
  <c r="G820" i="3" s="1"/>
  <c r="E820" i="3"/>
  <c r="H820" i="3" s="1"/>
  <c r="K820" i="3" s="1"/>
  <c r="AE820" i="3" s="1"/>
  <c r="AH820" i="3"/>
  <c r="F820" i="3" l="1"/>
  <c r="I820" i="3"/>
  <c r="J820" i="3"/>
  <c r="AD820" i="3" s="1"/>
  <c r="M820" i="3"/>
  <c r="N820" i="3" s="1"/>
  <c r="V820" i="3"/>
  <c r="W820" i="3" s="1"/>
  <c r="A821" i="3"/>
  <c r="B821" i="3" s="1"/>
  <c r="L820" i="3" l="1"/>
  <c r="P821" i="3"/>
  <c r="Q821" i="3" s="1"/>
  <c r="R821" i="3" s="1"/>
  <c r="S821" i="3" s="1"/>
  <c r="AA821" i="3"/>
  <c r="AC821" i="3"/>
  <c r="Z821" i="3"/>
  <c r="T821" i="3" l="1"/>
  <c r="AH821" i="3" s="1"/>
  <c r="U820" i="3"/>
  <c r="Y819" i="3"/>
  <c r="D821" i="3" l="1"/>
  <c r="G821" i="3" s="1"/>
  <c r="AG821" i="3"/>
  <c r="E821" i="3"/>
  <c r="H821" i="3" s="1"/>
  <c r="K821" i="3" l="1"/>
  <c r="AE821" i="3" s="1"/>
  <c r="I821" i="3"/>
  <c r="J821" i="3"/>
  <c r="AD821" i="3" s="1"/>
  <c r="M821" i="3"/>
  <c r="N821" i="3" s="1"/>
  <c r="F821" i="3"/>
  <c r="L821" i="3" l="1"/>
  <c r="V821" i="3"/>
  <c r="W821" i="3" s="1"/>
  <c r="A822" i="3"/>
  <c r="B822" i="3" s="1"/>
  <c r="P822" i="3" l="1"/>
  <c r="Q822" i="3" s="1"/>
  <c r="R822" i="3" s="1"/>
  <c r="S822" i="3" s="1"/>
  <c r="AA822" i="3"/>
  <c r="Z822" i="3"/>
  <c r="AC822" i="3"/>
  <c r="U821" i="3"/>
  <c r="Y820" i="3"/>
  <c r="T822" i="3" l="1"/>
  <c r="AH822" i="3" s="1"/>
  <c r="AG822" i="3" l="1"/>
  <c r="D822" i="3"/>
  <c r="E822" i="3"/>
  <c r="H822" i="3" s="1"/>
  <c r="K822" i="3" l="1"/>
  <c r="AE822" i="3" s="1"/>
  <c r="F822" i="3"/>
  <c r="G822" i="3"/>
  <c r="I822" i="3" l="1"/>
  <c r="J822" i="3"/>
  <c r="AD822" i="3" s="1"/>
  <c r="M822" i="3"/>
  <c r="N822" i="3" s="1"/>
  <c r="V822" i="3"/>
  <c r="A823" i="3"/>
  <c r="B823" i="3" s="1"/>
  <c r="W822" i="3" l="1"/>
  <c r="AA823" i="3"/>
  <c r="Z823" i="3"/>
  <c r="P823" i="3"/>
  <c r="Q823" i="3" s="1"/>
  <c r="R823" i="3" s="1"/>
  <c r="S823" i="3" s="1"/>
  <c r="AC823" i="3"/>
  <c r="L822" i="3"/>
  <c r="T823" i="3" l="1"/>
  <c r="AH823" i="3" s="1"/>
  <c r="U822" i="3"/>
  <c r="Y821" i="3"/>
  <c r="AG823" i="3" l="1"/>
  <c r="E823" i="3"/>
  <c r="H823" i="3" s="1"/>
  <c r="K823" i="3" s="1"/>
  <c r="AE823" i="3" s="1"/>
  <c r="D823" i="3"/>
  <c r="F823" i="3" l="1"/>
  <c r="G823" i="3"/>
  <c r="I823" i="3" s="1"/>
  <c r="V823" i="3"/>
  <c r="A824" i="3"/>
  <c r="B824" i="3" s="1"/>
  <c r="J823" i="3" l="1"/>
  <c r="AD823" i="3" s="1"/>
  <c r="M823" i="3"/>
  <c r="N823" i="3" s="1"/>
  <c r="P824" i="3"/>
  <c r="Q824" i="3" s="1"/>
  <c r="R824" i="3" s="1"/>
  <c r="S824" i="3" s="1"/>
  <c r="AA824" i="3"/>
  <c r="Z824" i="3"/>
  <c r="AC824" i="3"/>
  <c r="W823" i="3"/>
  <c r="L823" i="3" l="1"/>
  <c r="U823" i="3" s="1"/>
  <c r="T824" i="3"/>
  <c r="Y822" i="3" l="1"/>
  <c r="D824" i="3"/>
  <c r="G824" i="3" s="1"/>
  <c r="AH824" i="3"/>
  <c r="E824" i="3"/>
  <c r="H824" i="3" s="1"/>
  <c r="AG824" i="3"/>
  <c r="K824" i="3" l="1"/>
  <c r="AE824" i="3" s="1"/>
  <c r="I824" i="3"/>
  <c r="J824" i="3"/>
  <c r="AD824" i="3" s="1"/>
  <c r="M824" i="3"/>
  <c r="N824" i="3" s="1"/>
  <c r="F824" i="3"/>
  <c r="L824" i="3" l="1"/>
  <c r="V824" i="3"/>
  <c r="W824" i="3" s="1"/>
  <c r="A825" i="3"/>
  <c r="B825" i="3" s="1"/>
  <c r="Z825" i="3" l="1"/>
  <c r="AA825" i="3"/>
  <c r="AD825" i="3"/>
  <c r="P825" i="3"/>
  <c r="Q825" i="3" s="1"/>
  <c r="R825" i="3" s="1"/>
  <c r="S825" i="3" s="1"/>
  <c r="AC825" i="3"/>
  <c r="U824" i="3"/>
  <c r="Y823" i="3"/>
  <c r="T825" i="3" l="1"/>
  <c r="E825" i="3" s="1"/>
  <c r="H825" i="3" s="1"/>
  <c r="D825" i="3" l="1"/>
  <c r="G825" i="3" s="1"/>
  <c r="AH825" i="3"/>
  <c r="AG825" i="3"/>
  <c r="K825" i="3"/>
  <c r="AE825" i="3" s="1"/>
  <c r="F825" i="3" l="1"/>
  <c r="V825" i="3"/>
  <c r="A826" i="3"/>
  <c r="B826" i="3" s="1"/>
  <c r="I825" i="3"/>
  <c r="J825" i="3"/>
  <c r="M825" i="3"/>
  <c r="N825" i="3" s="1"/>
  <c r="L825" i="3" l="1"/>
  <c r="AC826" i="3"/>
  <c r="P826" i="3"/>
  <c r="Q826" i="3" s="1"/>
  <c r="R826" i="3" s="1"/>
  <c r="S826" i="3" s="1"/>
  <c r="AD826" i="3"/>
  <c r="AA826" i="3"/>
  <c r="Z826" i="3"/>
  <c r="W825" i="3"/>
  <c r="T826" i="3" l="1"/>
  <c r="AH826" i="3" s="1"/>
  <c r="U825" i="3"/>
  <c r="Y824" i="3"/>
  <c r="D826" i="3" l="1"/>
  <c r="G826" i="3" s="1"/>
  <c r="AG826" i="3"/>
  <c r="E826" i="3"/>
  <c r="H826" i="3" s="1"/>
  <c r="K826" i="3" s="1"/>
  <c r="AE826" i="3" s="1"/>
  <c r="F826" i="3" l="1"/>
  <c r="I826" i="3"/>
  <c r="J826" i="3"/>
  <c r="M826" i="3"/>
  <c r="N826" i="3" s="1"/>
  <c r="V826" i="3"/>
  <c r="A827" i="3"/>
  <c r="B827" i="3" s="1"/>
  <c r="W826" i="3" l="1"/>
  <c r="Z827" i="3"/>
  <c r="AC827" i="3"/>
  <c r="AA827" i="3"/>
  <c r="AD827" i="3"/>
  <c r="P827" i="3"/>
  <c r="Q827" i="3" s="1"/>
  <c r="R827" i="3" s="1"/>
  <c r="S827" i="3" s="1"/>
  <c r="L826" i="3"/>
  <c r="T827" i="3" l="1"/>
  <c r="AH827" i="3" s="1"/>
  <c r="U826" i="3"/>
  <c r="Y825" i="3"/>
  <c r="E827" i="3" l="1"/>
  <c r="H827" i="3" s="1"/>
  <c r="K827" i="3" s="1"/>
  <c r="AE827" i="3" s="1"/>
  <c r="AG827" i="3"/>
  <c r="D827" i="3"/>
  <c r="G827" i="3" s="1"/>
  <c r="F827" i="3" l="1"/>
  <c r="I827" i="3"/>
  <c r="J827" i="3"/>
  <c r="M827" i="3"/>
  <c r="N827" i="3" s="1"/>
  <c r="V827" i="3"/>
  <c r="A828" i="3"/>
  <c r="B828" i="3" s="1"/>
  <c r="W827" i="3" l="1"/>
  <c r="AC828" i="3"/>
  <c r="Z828" i="3"/>
  <c r="AD828" i="3"/>
  <c r="P828" i="3"/>
  <c r="Q828" i="3" s="1"/>
  <c r="R828" i="3" s="1"/>
  <c r="S828" i="3" s="1"/>
  <c r="AA828" i="3"/>
  <c r="L827" i="3"/>
  <c r="T828" i="3" l="1"/>
  <c r="AH828" i="3" s="1"/>
  <c r="U827" i="3"/>
  <c r="Y826" i="3"/>
  <c r="AG828" i="3" l="1"/>
  <c r="E828" i="3"/>
  <c r="H828" i="3" s="1"/>
  <c r="K828" i="3" s="1"/>
  <c r="AE828" i="3" s="1"/>
  <c r="D828" i="3"/>
  <c r="F828" i="3" l="1"/>
  <c r="G828" i="3"/>
  <c r="M828" i="3" s="1"/>
  <c r="N828" i="3" s="1"/>
  <c r="V828" i="3"/>
  <c r="A829" i="3"/>
  <c r="B829" i="3" s="1"/>
  <c r="J828" i="3" l="1"/>
  <c r="L828" i="3" s="1"/>
  <c r="I828" i="3"/>
  <c r="W828" i="3" s="1"/>
  <c r="AD829" i="3"/>
  <c r="P829" i="3"/>
  <c r="Q829" i="3" s="1"/>
  <c r="R829" i="3" s="1"/>
  <c r="S829" i="3" s="1"/>
  <c r="AA829" i="3"/>
  <c r="Z829" i="3"/>
  <c r="AC829" i="3"/>
  <c r="U828" i="3" l="1"/>
  <c r="Y827" i="3"/>
  <c r="T829" i="3"/>
  <c r="AH829" i="3" s="1"/>
  <c r="D829" i="3" l="1"/>
  <c r="E829" i="3"/>
  <c r="H829" i="3" s="1"/>
  <c r="AG829" i="3"/>
  <c r="K829" i="3" l="1"/>
  <c r="AE829" i="3" s="1"/>
  <c r="F829" i="3"/>
  <c r="G829" i="3"/>
  <c r="I829" i="3" l="1"/>
  <c r="J829" i="3"/>
  <c r="M829" i="3"/>
  <c r="N829" i="3" s="1"/>
  <c r="V829" i="3"/>
  <c r="A830" i="3"/>
  <c r="B830" i="3" s="1"/>
  <c r="W829" i="3" l="1"/>
  <c r="AC830" i="3"/>
  <c r="AA830" i="3"/>
  <c r="Z830" i="3"/>
  <c r="P830" i="3"/>
  <c r="Q830" i="3" s="1"/>
  <c r="R830" i="3" s="1"/>
  <c r="S830" i="3" s="1"/>
  <c r="AD830" i="3"/>
  <c r="L829" i="3"/>
  <c r="T830" i="3" l="1"/>
  <c r="AG830" i="3" s="1"/>
  <c r="U829" i="3"/>
  <c r="Y828" i="3"/>
  <c r="D830" i="3" l="1"/>
  <c r="G830" i="3" s="1"/>
  <c r="AH830" i="3"/>
  <c r="E830" i="3"/>
  <c r="H830" i="3" s="1"/>
  <c r="K830" i="3" s="1"/>
  <c r="AE830" i="3" s="1"/>
  <c r="F830" i="3" l="1"/>
  <c r="V830" i="3"/>
  <c r="A831" i="3"/>
  <c r="B831" i="3" s="1"/>
  <c r="I830" i="3"/>
  <c r="J830" i="3"/>
  <c r="M830" i="3"/>
  <c r="N830" i="3" s="1"/>
  <c r="P831" i="3" l="1"/>
  <c r="Q831" i="3" s="1"/>
  <c r="R831" i="3" s="1"/>
  <c r="S831" i="3" s="1"/>
  <c r="AA831" i="3"/>
  <c r="AD831" i="3"/>
  <c r="AC831" i="3"/>
  <c r="Z831" i="3"/>
  <c r="L830" i="3"/>
  <c r="W830" i="3"/>
  <c r="U830" i="3" l="1"/>
  <c r="Y829" i="3"/>
  <c r="T831" i="3"/>
  <c r="AH831" i="3" s="1"/>
  <c r="E831" i="3" l="1"/>
  <c r="H831" i="3" s="1"/>
  <c r="K831" i="3" s="1"/>
  <c r="AE831" i="3" s="1"/>
  <c r="AG831" i="3"/>
  <c r="D831" i="3"/>
  <c r="F831" i="3" l="1"/>
  <c r="G831" i="3"/>
  <c r="V831" i="3"/>
  <c r="A832" i="3"/>
  <c r="B832" i="3" s="1"/>
  <c r="P832" i="3" l="1"/>
  <c r="Q832" i="3" s="1"/>
  <c r="R832" i="3" s="1"/>
  <c r="S832" i="3" s="1"/>
  <c r="AC832" i="3"/>
  <c r="AD832" i="3"/>
  <c r="Z832" i="3"/>
  <c r="AA832" i="3"/>
  <c r="I831" i="3"/>
  <c r="W831" i="3" s="1"/>
  <c r="J831" i="3"/>
  <c r="M831" i="3"/>
  <c r="N831" i="3" s="1"/>
  <c r="L831" i="3" l="1"/>
  <c r="T832" i="3"/>
  <c r="AH832" i="3" l="1"/>
  <c r="U831" i="3"/>
  <c r="E832" i="3" s="1"/>
  <c r="H832" i="3" s="1"/>
  <c r="AG832" i="3"/>
  <c r="Y830" i="3"/>
  <c r="K832" i="3" l="1"/>
  <c r="AE832" i="3" s="1"/>
  <c r="D832" i="3"/>
  <c r="F832" i="3" l="1"/>
  <c r="G832" i="3"/>
  <c r="V832" i="3"/>
  <c r="A833" i="3"/>
  <c r="B833" i="3" s="1"/>
  <c r="AD833" i="3" l="1"/>
  <c r="AC833" i="3"/>
  <c r="P833" i="3"/>
  <c r="Q833" i="3" s="1"/>
  <c r="R833" i="3" s="1"/>
  <c r="S833" i="3" s="1"/>
  <c r="Z833" i="3"/>
  <c r="AA833" i="3"/>
  <c r="I832" i="3"/>
  <c r="W832" i="3" s="1"/>
  <c r="J832" i="3"/>
  <c r="M832" i="3"/>
  <c r="N832" i="3" s="1"/>
  <c r="T833" i="3" l="1"/>
  <c r="L832" i="3"/>
  <c r="AH833" i="3" l="1"/>
  <c r="AG833" i="3"/>
  <c r="U832" i="3"/>
  <c r="E833" i="3" s="1"/>
  <c r="H833" i="3" s="1"/>
  <c r="Y831" i="3"/>
  <c r="D833" i="3" l="1"/>
  <c r="F833" i="3" s="1"/>
  <c r="K833" i="3"/>
  <c r="AE833" i="3" s="1"/>
  <c r="G833" i="3" l="1"/>
  <c r="I833" i="3" s="1"/>
  <c r="V833" i="3"/>
  <c r="A834" i="3"/>
  <c r="B834" i="3" s="1"/>
  <c r="M833" i="3" l="1"/>
  <c r="N833" i="3" s="1"/>
  <c r="J833" i="3"/>
  <c r="L833" i="3" s="1"/>
  <c r="W833" i="3"/>
  <c r="AA834" i="3"/>
  <c r="P834" i="3"/>
  <c r="Q834" i="3" s="1"/>
  <c r="R834" i="3" s="1"/>
  <c r="S834" i="3" s="1"/>
  <c r="Z834" i="3"/>
  <c r="AC834" i="3"/>
  <c r="U833" i="3" l="1"/>
  <c r="Y832" i="3"/>
  <c r="T834" i="3"/>
  <c r="AG834" i="3" s="1"/>
  <c r="E834" i="3" l="1"/>
  <c r="H834" i="3" s="1"/>
  <c r="K834" i="3" s="1"/>
  <c r="AE834" i="3" s="1"/>
  <c r="AH834" i="3"/>
  <c r="D834" i="3"/>
  <c r="F834" i="3" l="1"/>
  <c r="G834" i="3"/>
  <c r="I834" i="3" s="1"/>
  <c r="V834" i="3"/>
  <c r="A835" i="3"/>
  <c r="B835" i="3" s="1"/>
  <c r="M834" i="3" l="1"/>
  <c r="N834" i="3" s="1"/>
  <c r="W834" i="3"/>
  <c r="J834" i="3"/>
  <c r="AD834" i="3" s="1"/>
  <c r="AC835" i="3"/>
  <c r="Z835" i="3"/>
  <c r="AA835" i="3"/>
  <c r="P835" i="3"/>
  <c r="Q835" i="3" s="1"/>
  <c r="R835" i="3" s="1"/>
  <c r="S835" i="3" s="1"/>
  <c r="L834" i="3" l="1"/>
  <c r="U834" i="3" s="1"/>
  <c r="T835" i="3"/>
  <c r="Y833" i="3" l="1"/>
  <c r="AG835" i="3"/>
  <c r="AH835" i="3"/>
  <c r="D835" i="3"/>
  <c r="G835" i="3" s="1"/>
  <c r="E835" i="3"/>
  <c r="H835" i="3" s="1"/>
  <c r="K835" i="3" s="1"/>
  <c r="AE835" i="3" s="1"/>
  <c r="F835" i="3" l="1"/>
  <c r="I835" i="3"/>
  <c r="J835" i="3"/>
  <c r="AD835" i="3" s="1"/>
  <c r="M835" i="3"/>
  <c r="N835" i="3" s="1"/>
  <c r="V835" i="3"/>
  <c r="W835" i="3" s="1"/>
  <c r="A836" i="3"/>
  <c r="B836" i="3" s="1"/>
  <c r="AA836" i="3" l="1"/>
  <c r="Z836" i="3"/>
  <c r="AC836" i="3"/>
  <c r="P836" i="3"/>
  <c r="Q836" i="3" s="1"/>
  <c r="R836" i="3" s="1"/>
  <c r="S836" i="3" s="1"/>
  <c r="L835" i="3"/>
  <c r="T836" i="3" l="1"/>
  <c r="AH836" i="3" s="1"/>
  <c r="U835" i="3"/>
  <c r="Y834" i="3"/>
  <c r="E836" i="3" l="1"/>
  <c r="H836" i="3" s="1"/>
  <c r="K836" i="3" s="1"/>
  <c r="AE836" i="3" s="1"/>
  <c r="AG836" i="3"/>
  <c r="D836" i="3"/>
  <c r="F836" i="3" l="1"/>
  <c r="G836" i="3"/>
  <c r="I836" i="3" s="1"/>
  <c r="V836" i="3"/>
  <c r="A837" i="3"/>
  <c r="B837" i="3" s="1"/>
  <c r="M836" i="3" l="1"/>
  <c r="N836" i="3" s="1"/>
  <c r="J836" i="3"/>
  <c r="W836" i="3"/>
  <c r="P837" i="3"/>
  <c r="Q837" i="3" s="1"/>
  <c r="R837" i="3" s="1"/>
  <c r="S837" i="3" s="1"/>
  <c r="Z837" i="3"/>
  <c r="AA837" i="3"/>
  <c r="AC837" i="3"/>
  <c r="L836" i="3" l="1"/>
  <c r="Y835" i="3" s="1"/>
  <c r="AD836" i="3"/>
  <c r="T837" i="3"/>
  <c r="U836" i="3" l="1"/>
  <c r="E837" i="3" s="1"/>
  <c r="H837" i="3" s="1"/>
  <c r="K837" i="3" s="1"/>
  <c r="AE837" i="3" s="1"/>
  <c r="AG837" i="3"/>
  <c r="AH837" i="3"/>
  <c r="D837" i="3" l="1"/>
  <c r="F837" i="3" s="1"/>
  <c r="V837" i="3"/>
  <c r="A838" i="3"/>
  <c r="B838" i="3" s="1"/>
  <c r="G837" i="3" l="1"/>
  <c r="M837" i="3" s="1"/>
  <c r="N837" i="3" s="1"/>
  <c r="Z838" i="3"/>
  <c r="P838" i="3"/>
  <c r="Q838" i="3" s="1"/>
  <c r="R838" i="3" s="1"/>
  <c r="S838" i="3" s="1"/>
  <c r="AC838" i="3"/>
  <c r="AA838" i="3"/>
  <c r="J837" i="3" l="1"/>
  <c r="AD837" i="3" s="1"/>
  <c r="I837" i="3"/>
  <c r="W837" i="3" s="1"/>
  <c r="T838" i="3"/>
  <c r="L837" i="3" l="1"/>
  <c r="AH838" i="3" s="1"/>
  <c r="Y836" i="3" l="1"/>
  <c r="AG838" i="3"/>
  <c r="U837" i="3"/>
  <c r="E838" i="3" s="1"/>
  <c r="H838" i="3" s="1"/>
  <c r="K838" i="3" s="1"/>
  <c r="AE838" i="3" s="1"/>
  <c r="D838" i="3" l="1"/>
  <c r="F838" i="3" s="1"/>
  <c r="V838" i="3"/>
  <c r="A839" i="3"/>
  <c r="B839" i="3" s="1"/>
  <c r="G838" i="3" l="1"/>
  <c r="I838" i="3" s="1"/>
  <c r="W838" i="3"/>
  <c r="P839" i="3"/>
  <c r="Q839" i="3" s="1"/>
  <c r="R839" i="3" s="1"/>
  <c r="S839" i="3" s="1"/>
  <c r="AA839" i="3"/>
  <c r="Z839" i="3"/>
  <c r="AC839" i="3"/>
  <c r="J838" i="3" l="1"/>
  <c r="M838" i="3"/>
  <c r="N838" i="3" s="1"/>
  <c r="L838" i="3"/>
  <c r="U838" i="3" s="1"/>
  <c r="AD838" i="3"/>
  <c r="T839" i="3"/>
  <c r="Y837" i="3" l="1"/>
  <c r="D839" i="3"/>
  <c r="G839" i="3" s="1"/>
  <c r="AG839" i="3"/>
  <c r="E839" i="3"/>
  <c r="H839" i="3" s="1"/>
  <c r="K839" i="3" s="1"/>
  <c r="AE839" i="3" s="1"/>
  <c r="AH839" i="3"/>
  <c r="F839" i="3" l="1"/>
  <c r="V839" i="3"/>
  <c r="A840" i="3"/>
  <c r="B840" i="3" s="1"/>
  <c r="I839" i="3"/>
  <c r="J839" i="3"/>
  <c r="AD839" i="3" s="1"/>
  <c r="M839" i="3"/>
  <c r="N839" i="3" s="1"/>
  <c r="L839" i="3" l="1"/>
  <c r="Z840" i="3"/>
  <c r="P840" i="3"/>
  <c r="Q840" i="3" s="1"/>
  <c r="R840" i="3" s="1"/>
  <c r="S840" i="3" s="1"/>
  <c r="AC840" i="3"/>
  <c r="AA840" i="3"/>
  <c r="W839" i="3"/>
  <c r="T840" i="3" l="1"/>
  <c r="AG840" i="3" s="1"/>
  <c r="U839" i="3"/>
  <c r="Y838" i="3"/>
  <c r="E840" i="3" l="1"/>
  <c r="H840" i="3" s="1"/>
  <c r="K840" i="3" s="1"/>
  <c r="AE840" i="3" s="1"/>
  <c r="AH840" i="3"/>
  <c r="D840" i="3"/>
  <c r="F840" i="3" l="1"/>
  <c r="G840" i="3"/>
  <c r="I840" i="3" s="1"/>
  <c r="V840" i="3"/>
  <c r="A841" i="3"/>
  <c r="B841" i="3" s="1"/>
  <c r="M840" i="3" l="1"/>
  <c r="N840" i="3" s="1"/>
  <c r="J840" i="3"/>
  <c r="AD840" i="3" s="1"/>
  <c r="P841" i="3"/>
  <c r="Q841" i="3" s="1"/>
  <c r="R841" i="3" s="1"/>
  <c r="S841" i="3" s="1"/>
  <c r="Z841" i="3"/>
  <c r="AC841" i="3"/>
  <c r="AA841" i="3"/>
  <c r="W840" i="3"/>
  <c r="L840" i="3" l="1"/>
  <c r="U840" i="3" s="1"/>
  <c r="T841" i="3"/>
  <c r="Y839" i="3" l="1"/>
  <c r="AG841" i="3"/>
  <c r="AH841" i="3"/>
  <c r="E841" i="3"/>
  <c r="H841" i="3" s="1"/>
  <c r="K841" i="3" s="1"/>
  <c r="AE841" i="3" s="1"/>
  <c r="D841" i="3"/>
  <c r="G841" i="3" s="1"/>
  <c r="F841" i="3" l="1"/>
  <c r="V841" i="3"/>
  <c r="A842" i="3"/>
  <c r="B842" i="3" s="1"/>
  <c r="I841" i="3"/>
  <c r="J841" i="3"/>
  <c r="AD841" i="3" s="1"/>
  <c r="M841" i="3"/>
  <c r="N841" i="3" s="1"/>
  <c r="L841" i="3" l="1"/>
  <c r="AA842" i="3"/>
  <c r="P842" i="3"/>
  <c r="Q842" i="3" s="1"/>
  <c r="R842" i="3" s="1"/>
  <c r="S842" i="3" s="1"/>
  <c r="Z842" i="3"/>
  <c r="AC842" i="3"/>
  <c r="W841" i="3"/>
  <c r="T842" i="3" l="1"/>
  <c r="AG842" i="3" s="1"/>
  <c r="U841" i="3"/>
  <c r="Y840" i="3"/>
  <c r="D842" i="3" l="1"/>
  <c r="G842" i="3" s="1"/>
  <c r="AH842" i="3"/>
  <c r="E842" i="3"/>
  <c r="H842" i="3" s="1"/>
  <c r="K842" i="3" s="1"/>
  <c r="AE842" i="3" s="1"/>
  <c r="F842" i="3" l="1"/>
  <c r="V842" i="3"/>
  <c r="A843" i="3"/>
  <c r="B843" i="3" s="1"/>
  <c r="I842" i="3"/>
  <c r="J842" i="3"/>
  <c r="AD842" i="3" s="1"/>
  <c r="M842" i="3"/>
  <c r="N842" i="3" s="1"/>
  <c r="L842" i="3" l="1"/>
  <c r="W842" i="3"/>
  <c r="AA843" i="3"/>
  <c r="AC843" i="3"/>
  <c r="Z843" i="3"/>
  <c r="P843" i="3"/>
  <c r="Q843" i="3" s="1"/>
  <c r="R843" i="3" s="1"/>
  <c r="S843" i="3" s="1"/>
  <c r="T843" i="3" l="1"/>
  <c r="AH843" i="3" s="1"/>
  <c r="U842" i="3"/>
  <c r="Y841" i="3"/>
  <c r="D843" i="3" l="1"/>
  <c r="G843" i="3" s="1"/>
  <c r="AG843" i="3"/>
  <c r="E843" i="3"/>
  <c r="H843" i="3" s="1"/>
  <c r="K843" i="3" l="1"/>
  <c r="AE843" i="3" s="1"/>
  <c r="I843" i="3"/>
  <c r="J843" i="3"/>
  <c r="AD843" i="3" s="1"/>
  <c r="M843" i="3"/>
  <c r="N843" i="3" s="1"/>
  <c r="F843" i="3"/>
  <c r="L843" i="3" l="1"/>
  <c r="V843" i="3"/>
  <c r="W843" i="3" s="1"/>
  <c r="A844" i="3"/>
  <c r="B844" i="3" s="1"/>
  <c r="P844" i="3" l="1"/>
  <c r="Q844" i="3" s="1"/>
  <c r="R844" i="3" s="1"/>
  <c r="S844" i="3" s="1"/>
  <c r="Z844" i="3"/>
  <c r="AA844" i="3"/>
  <c r="AC844" i="3"/>
  <c r="U843" i="3"/>
  <c r="Y842" i="3"/>
  <c r="T844" i="3" l="1"/>
  <c r="E844" i="3" l="1"/>
  <c r="H844" i="3" s="1"/>
  <c r="AH844" i="3"/>
  <c r="AG844" i="3"/>
  <c r="D844" i="3"/>
  <c r="F844" i="3" l="1"/>
  <c r="G844" i="3"/>
  <c r="K844" i="3"/>
  <c r="AE844" i="3" s="1"/>
  <c r="V844" i="3" l="1"/>
  <c r="A845" i="3"/>
  <c r="B845" i="3" s="1"/>
  <c r="I844" i="3"/>
  <c r="J844" i="3"/>
  <c r="AD844" i="3" s="1"/>
  <c r="M844" i="3"/>
  <c r="N844" i="3" s="1"/>
  <c r="L844" i="3" l="1"/>
  <c r="AA845" i="3"/>
  <c r="Z845" i="3"/>
  <c r="P845" i="3"/>
  <c r="Q845" i="3" s="1"/>
  <c r="R845" i="3" s="1"/>
  <c r="S845" i="3" s="1"/>
  <c r="AC845" i="3"/>
  <c r="W844" i="3"/>
  <c r="T845" i="3" l="1"/>
  <c r="AG845" i="3" s="1"/>
  <c r="U844" i="3"/>
  <c r="Y843" i="3"/>
  <c r="D845" i="3" l="1"/>
  <c r="G845" i="3" s="1"/>
  <c r="E845" i="3"/>
  <c r="H845" i="3" s="1"/>
  <c r="K845" i="3" s="1"/>
  <c r="AE845" i="3" s="1"/>
  <c r="AH845" i="3"/>
  <c r="F845" i="3" l="1"/>
  <c r="I845" i="3"/>
  <c r="J845" i="3"/>
  <c r="AD845" i="3" s="1"/>
  <c r="M845" i="3"/>
  <c r="N845" i="3" s="1"/>
  <c r="V845" i="3"/>
  <c r="W845" i="3" s="1"/>
  <c r="A846" i="3"/>
  <c r="B846" i="3" s="1"/>
  <c r="AC846" i="3" l="1"/>
  <c r="AA846" i="3"/>
  <c r="P846" i="3"/>
  <c r="Q846" i="3" s="1"/>
  <c r="R846" i="3" s="1"/>
  <c r="S846" i="3" s="1"/>
  <c r="Z846" i="3"/>
  <c r="L845" i="3"/>
  <c r="T846" i="3" l="1"/>
  <c r="AG846" i="3" s="1"/>
  <c r="U845" i="3"/>
  <c r="Y844" i="3"/>
  <c r="AH846" i="3" l="1"/>
  <c r="E846" i="3"/>
  <c r="H846" i="3" s="1"/>
  <c r="K846" i="3" s="1"/>
  <c r="AE846" i="3" s="1"/>
  <c r="D846" i="3"/>
  <c r="F846" i="3" l="1"/>
  <c r="G846" i="3"/>
  <c r="I846" i="3" s="1"/>
  <c r="V846" i="3"/>
  <c r="A847" i="3"/>
  <c r="B847" i="3" s="1"/>
  <c r="M846" i="3" l="1"/>
  <c r="N846" i="3" s="1"/>
  <c r="J846" i="3"/>
  <c r="P847" i="3"/>
  <c r="Q847" i="3" s="1"/>
  <c r="R847" i="3" s="1"/>
  <c r="S847" i="3" s="1"/>
  <c r="Z847" i="3"/>
  <c r="AC847" i="3"/>
  <c r="AA847" i="3"/>
  <c r="W846" i="3"/>
  <c r="L846" i="3" l="1"/>
  <c r="U846" i="3" s="1"/>
  <c r="AD846" i="3"/>
  <c r="T847" i="3"/>
  <c r="Y845" i="3" l="1"/>
  <c r="AG847" i="3"/>
  <c r="D847" i="3"/>
  <c r="G847" i="3" s="1"/>
  <c r="AH847" i="3"/>
  <c r="E847" i="3"/>
  <c r="H847" i="3" s="1"/>
  <c r="K847" i="3" s="1"/>
  <c r="AE847" i="3" s="1"/>
  <c r="F847" i="3" l="1"/>
  <c r="I847" i="3"/>
  <c r="J847" i="3"/>
  <c r="AD847" i="3" s="1"/>
  <c r="M847" i="3"/>
  <c r="N847" i="3" s="1"/>
  <c r="V847" i="3"/>
  <c r="A848" i="3"/>
  <c r="B848" i="3" s="1"/>
  <c r="W847" i="3" l="1"/>
  <c r="AC848" i="3"/>
  <c r="AA848" i="3"/>
  <c r="P848" i="3"/>
  <c r="Q848" i="3" s="1"/>
  <c r="R848" i="3" s="1"/>
  <c r="S848" i="3" s="1"/>
  <c r="Z848" i="3"/>
  <c r="L847" i="3"/>
  <c r="T848" i="3" l="1"/>
  <c r="AG848" i="3" s="1"/>
  <c r="U847" i="3"/>
  <c r="Y846" i="3"/>
  <c r="D848" i="3" l="1"/>
  <c r="G848" i="3" s="1"/>
  <c r="AH848" i="3"/>
  <c r="E848" i="3"/>
  <c r="H848" i="3" s="1"/>
  <c r="K848" i="3" s="1"/>
  <c r="AE848" i="3" s="1"/>
  <c r="F848" i="3" l="1"/>
  <c r="V848" i="3"/>
  <c r="A849" i="3"/>
  <c r="B849" i="3" s="1"/>
  <c r="I848" i="3"/>
  <c r="J848" i="3"/>
  <c r="AD848" i="3" s="1"/>
  <c r="M848" i="3"/>
  <c r="N848" i="3" s="1"/>
  <c r="Z849" i="3" l="1"/>
  <c r="AA849" i="3"/>
  <c r="AC849" i="3"/>
  <c r="P849" i="3"/>
  <c r="Q849" i="3" s="1"/>
  <c r="R849" i="3" s="1"/>
  <c r="S849" i="3" s="1"/>
  <c r="L848" i="3"/>
  <c r="W848" i="3"/>
  <c r="U848" i="3" l="1"/>
  <c r="Y847" i="3"/>
  <c r="T849" i="3"/>
  <c r="AH849" i="3" s="1"/>
  <c r="E849" i="3" l="1"/>
  <c r="H849" i="3" s="1"/>
  <c r="AG849" i="3"/>
  <c r="D849" i="3"/>
  <c r="F849" i="3" l="1"/>
  <c r="G849" i="3"/>
  <c r="K849" i="3"/>
  <c r="AE849" i="3" s="1"/>
  <c r="V849" i="3" l="1"/>
  <c r="A850" i="3"/>
  <c r="B850" i="3" s="1"/>
  <c r="I849" i="3"/>
  <c r="J849" i="3"/>
  <c r="AD849" i="3" s="1"/>
  <c r="M849" i="3"/>
  <c r="N849" i="3" s="1"/>
  <c r="L849" i="3" l="1"/>
  <c r="P850" i="3"/>
  <c r="Q850" i="3" s="1"/>
  <c r="R850" i="3" s="1"/>
  <c r="S850" i="3" s="1"/>
  <c r="AC850" i="3"/>
  <c r="Z850" i="3"/>
  <c r="AA850" i="3"/>
  <c r="W849" i="3"/>
  <c r="T850" i="3" l="1"/>
  <c r="AH850" i="3" s="1"/>
  <c r="U849" i="3"/>
  <c r="Y848" i="3"/>
  <c r="E850" i="3" l="1"/>
  <c r="H850" i="3" s="1"/>
  <c r="K850" i="3" s="1"/>
  <c r="AE850" i="3" s="1"/>
  <c r="AG850" i="3"/>
  <c r="D850" i="3"/>
  <c r="V850" i="3" l="1"/>
  <c r="A851" i="3"/>
  <c r="B851" i="3" s="1"/>
  <c r="F850" i="3"/>
  <c r="G850" i="3"/>
  <c r="I850" i="3" l="1"/>
  <c r="W850" i="3" s="1"/>
  <c r="J850" i="3"/>
  <c r="AD850" i="3" s="1"/>
  <c r="M850" i="3"/>
  <c r="N850" i="3" s="1"/>
  <c r="AC851" i="3"/>
  <c r="AA851" i="3"/>
  <c r="P851" i="3"/>
  <c r="Q851" i="3" s="1"/>
  <c r="R851" i="3" s="1"/>
  <c r="S851" i="3" s="1"/>
  <c r="Z851" i="3"/>
  <c r="L850" i="3" l="1"/>
  <c r="T851" i="3"/>
  <c r="AG851" i="3" l="1"/>
  <c r="AH851" i="3"/>
  <c r="U850" i="3"/>
  <c r="E851" i="3" s="1"/>
  <c r="H851" i="3" s="1"/>
  <c r="Y849" i="3"/>
  <c r="D851" i="3" l="1"/>
  <c r="F851" i="3" s="1"/>
  <c r="K851" i="3"/>
  <c r="AE851" i="3" s="1"/>
  <c r="G851" i="3" l="1"/>
  <c r="I851" i="3" s="1"/>
  <c r="V851" i="3"/>
  <c r="A852" i="3"/>
  <c r="B852" i="3" s="1"/>
  <c r="M851" i="3" l="1"/>
  <c r="N851" i="3" s="1"/>
  <c r="J851" i="3"/>
  <c r="W851" i="3"/>
  <c r="AC852" i="3"/>
  <c r="P852" i="3"/>
  <c r="Q852" i="3" s="1"/>
  <c r="R852" i="3" s="1"/>
  <c r="S852" i="3" s="1"/>
  <c r="Z852" i="3"/>
  <c r="AA852" i="3"/>
  <c r="L851" i="3" l="1"/>
  <c r="U851" i="3" s="1"/>
  <c r="AD851" i="3"/>
  <c r="T852" i="3"/>
  <c r="Y850" i="3" l="1"/>
  <c r="AH852" i="3"/>
  <c r="AG852" i="3"/>
  <c r="E852" i="3"/>
  <c r="H852" i="3" s="1"/>
  <c r="K852" i="3" s="1"/>
  <c r="AE852" i="3" s="1"/>
  <c r="D852" i="3"/>
  <c r="F852" i="3" l="1"/>
  <c r="G852" i="3"/>
  <c r="I852" i="3" s="1"/>
  <c r="V852" i="3"/>
  <c r="A853" i="3"/>
  <c r="B853" i="3" s="1"/>
  <c r="M852" i="3" l="1"/>
  <c r="N852" i="3" s="1"/>
  <c r="J852" i="3"/>
  <c r="W852" i="3"/>
  <c r="AC853" i="3"/>
  <c r="Z853" i="3"/>
  <c r="P853" i="3"/>
  <c r="Q853" i="3" s="1"/>
  <c r="R853" i="3" s="1"/>
  <c r="S853" i="3" s="1"/>
  <c r="AA853" i="3"/>
  <c r="L852" i="3" l="1"/>
  <c r="U852" i="3" s="1"/>
  <c r="AD852" i="3"/>
  <c r="T853" i="3"/>
  <c r="Y851" i="3" l="1"/>
  <c r="AH853" i="3"/>
  <c r="AG853" i="3"/>
  <c r="E853" i="3"/>
  <c r="H853" i="3" s="1"/>
  <c r="K853" i="3" s="1"/>
  <c r="AE853" i="3" s="1"/>
  <c r="D853" i="3"/>
  <c r="F853" i="3" l="1"/>
  <c r="G853" i="3"/>
  <c r="I853" i="3" s="1"/>
  <c r="V853" i="3"/>
  <c r="A854" i="3"/>
  <c r="B854" i="3" s="1"/>
  <c r="M853" i="3" l="1"/>
  <c r="N853" i="3" s="1"/>
  <c r="J853" i="3"/>
  <c r="W853" i="3"/>
  <c r="Z854" i="3"/>
  <c r="P854" i="3"/>
  <c r="Q854" i="3" s="1"/>
  <c r="R854" i="3" s="1"/>
  <c r="S854" i="3" s="1"/>
  <c r="AA854" i="3"/>
  <c r="AC854" i="3"/>
  <c r="L853" i="3" l="1"/>
  <c r="U853" i="3" s="1"/>
  <c r="AD853" i="3"/>
  <c r="T854" i="3"/>
  <c r="Y852" i="3" l="1"/>
  <c r="AG854" i="3"/>
  <c r="AH854" i="3"/>
  <c r="D854" i="3"/>
  <c r="G854" i="3" s="1"/>
  <c r="E854" i="3"/>
  <c r="H854" i="3" s="1"/>
  <c r="K854" i="3" s="1"/>
  <c r="AE854" i="3" s="1"/>
  <c r="F854" i="3" l="1"/>
  <c r="I854" i="3"/>
  <c r="J854" i="3"/>
  <c r="AD854" i="3" s="1"/>
  <c r="M854" i="3"/>
  <c r="N854" i="3" s="1"/>
  <c r="V854" i="3"/>
  <c r="A855" i="3"/>
  <c r="B855" i="3" s="1"/>
  <c r="W854" i="3" l="1"/>
  <c r="P855" i="3"/>
  <c r="Q855" i="3" s="1"/>
  <c r="R855" i="3" s="1"/>
  <c r="S855" i="3" s="1"/>
  <c r="AA855" i="3"/>
  <c r="AC855" i="3"/>
  <c r="Z855" i="3"/>
  <c r="L854" i="3"/>
  <c r="U854" i="3" l="1"/>
  <c r="Y853" i="3"/>
  <c r="T855" i="3"/>
  <c r="AH855" i="3" s="1"/>
  <c r="AG855" i="3" l="1"/>
  <c r="D855" i="3"/>
  <c r="E855" i="3"/>
  <c r="H855" i="3" s="1"/>
  <c r="F855" i="3" l="1"/>
  <c r="G855" i="3"/>
  <c r="K855" i="3"/>
  <c r="AE855" i="3" s="1"/>
  <c r="V855" i="3" l="1"/>
  <c r="A856" i="3"/>
  <c r="B856" i="3" s="1"/>
  <c r="I855" i="3"/>
  <c r="J855" i="3"/>
  <c r="AD855" i="3" s="1"/>
  <c r="M855" i="3"/>
  <c r="N855" i="3" s="1"/>
  <c r="L855" i="3" l="1"/>
  <c r="AA856" i="3"/>
  <c r="Z856" i="3"/>
  <c r="AC856" i="3"/>
  <c r="P856" i="3"/>
  <c r="Q856" i="3" s="1"/>
  <c r="R856" i="3" s="1"/>
  <c r="S856" i="3" s="1"/>
  <c r="W855" i="3"/>
  <c r="T856" i="3" l="1"/>
  <c r="AG856" i="3" s="1"/>
  <c r="U855" i="3"/>
  <c r="Y854" i="3"/>
  <c r="E856" i="3" l="1"/>
  <c r="H856" i="3" s="1"/>
  <c r="K856" i="3" s="1"/>
  <c r="AE856" i="3" s="1"/>
  <c r="AH856" i="3"/>
  <c r="D856" i="3"/>
  <c r="F856" i="3" l="1"/>
  <c r="G856" i="3"/>
  <c r="V856" i="3"/>
  <c r="A857" i="3"/>
  <c r="B857" i="3" s="1"/>
  <c r="AC857" i="3" l="1"/>
  <c r="Z857" i="3"/>
  <c r="AA857" i="3"/>
  <c r="P857" i="3"/>
  <c r="Q857" i="3" s="1"/>
  <c r="R857" i="3" s="1"/>
  <c r="S857" i="3" s="1"/>
  <c r="I856" i="3"/>
  <c r="W856" i="3" s="1"/>
  <c r="J856" i="3"/>
  <c r="AD856" i="3" s="1"/>
  <c r="M856" i="3"/>
  <c r="N856" i="3" s="1"/>
  <c r="T857" i="3" l="1"/>
  <c r="L856" i="3"/>
  <c r="U856" i="3" l="1"/>
  <c r="E857" i="3" s="1"/>
  <c r="H857" i="3" s="1"/>
  <c r="AH857" i="3"/>
  <c r="AG857" i="3"/>
  <c r="Y855" i="3"/>
  <c r="D857" i="3" l="1"/>
  <c r="F857" i="3" s="1"/>
  <c r="K857" i="3"/>
  <c r="AE857" i="3" s="1"/>
  <c r="G857" i="3" l="1"/>
  <c r="M857" i="3" s="1"/>
  <c r="N857" i="3" s="1"/>
  <c r="V857" i="3"/>
  <c r="A858" i="3"/>
  <c r="B858" i="3" s="1"/>
  <c r="J857" i="3" l="1"/>
  <c r="I857" i="3"/>
  <c r="W857" i="3" s="1"/>
  <c r="Z858" i="3"/>
  <c r="AA858" i="3"/>
  <c r="P858" i="3"/>
  <c r="Q858" i="3" s="1"/>
  <c r="R858" i="3" s="1"/>
  <c r="S858" i="3" s="1"/>
  <c r="AC858" i="3"/>
  <c r="L857" i="3" l="1"/>
  <c r="U857" i="3" s="1"/>
  <c r="AD857" i="3"/>
  <c r="T858" i="3"/>
  <c r="AG858" i="3" l="1"/>
  <c r="Y856" i="3"/>
  <c r="D858" i="3"/>
  <c r="G858" i="3" s="1"/>
  <c r="AH858" i="3"/>
  <c r="E858" i="3"/>
  <c r="H858" i="3" s="1"/>
  <c r="K858" i="3" s="1"/>
  <c r="AE858" i="3" s="1"/>
  <c r="F858" i="3" l="1"/>
  <c r="I858" i="3"/>
  <c r="J858" i="3"/>
  <c r="AD858" i="3" s="1"/>
  <c r="M858" i="3"/>
  <c r="N858" i="3" s="1"/>
  <c r="V858" i="3"/>
  <c r="A859" i="3"/>
  <c r="B859" i="3" s="1"/>
  <c r="W858" i="3" l="1"/>
  <c r="Z859" i="3"/>
  <c r="AC859" i="3"/>
  <c r="P859" i="3"/>
  <c r="Q859" i="3" s="1"/>
  <c r="R859" i="3" s="1"/>
  <c r="S859" i="3" s="1"/>
  <c r="AA859" i="3"/>
  <c r="L858" i="3"/>
  <c r="T859" i="3" l="1"/>
  <c r="AG859" i="3" s="1"/>
  <c r="U858" i="3"/>
  <c r="Y857" i="3"/>
  <c r="D859" i="3" l="1"/>
  <c r="G859" i="3" s="1"/>
  <c r="AH859" i="3"/>
  <c r="E859" i="3"/>
  <c r="H859" i="3" s="1"/>
  <c r="K859" i="3" s="1"/>
  <c r="AE859" i="3" s="1"/>
  <c r="F859" i="3" l="1"/>
  <c r="V859" i="3"/>
  <c r="A860" i="3"/>
  <c r="B860" i="3" s="1"/>
  <c r="I859" i="3"/>
  <c r="J859" i="3"/>
  <c r="AD859" i="3" s="1"/>
  <c r="M859" i="3"/>
  <c r="N859" i="3" s="1"/>
  <c r="P860" i="3" l="1"/>
  <c r="Q860" i="3" s="1"/>
  <c r="R860" i="3" s="1"/>
  <c r="S860" i="3" s="1"/>
  <c r="Z860" i="3"/>
  <c r="AA860" i="3"/>
  <c r="AC860" i="3"/>
  <c r="L859" i="3"/>
  <c r="W859" i="3"/>
  <c r="U859" i="3" l="1"/>
  <c r="Y858" i="3"/>
  <c r="T860" i="3"/>
  <c r="AH860" i="3" s="1"/>
  <c r="D860" i="3" l="1"/>
  <c r="E860" i="3"/>
  <c r="H860" i="3" s="1"/>
  <c r="AG860" i="3"/>
  <c r="K860" i="3" l="1"/>
  <c r="AE860" i="3" s="1"/>
  <c r="F860" i="3"/>
  <c r="G860" i="3"/>
  <c r="I860" i="3" l="1"/>
  <c r="J860" i="3"/>
  <c r="AD860" i="3" s="1"/>
  <c r="M860" i="3"/>
  <c r="N860" i="3" s="1"/>
  <c r="V860" i="3"/>
  <c r="A861" i="3"/>
  <c r="B861" i="3" s="1"/>
  <c r="W860" i="3" l="1"/>
  <c r="AA861" i="3"/>
  <c r="Z861" i="3"/>
  <c r="AC861" i="3"/>
  <c r="P861" i="3"/>
  <c r="Q861" i="3" s="1"/>
  <c r="R861" i="3" s="1"/>
  <c r="S861" i="3" s="1"/>
  <c r="L860" i="3"/>
  <c r="T861" i="3" l="1"/>
  <c r="AG861" i="3" s="1"/>
  <c r="U860" i="3"/>
  <c r="Y859" i="3"/>
  <c r="D861" i="3" l="1"/>
  <c r="G861" i="3" s="1"/>
  <c r="E861" i="3"/>
  <c r="H861" i="3" s="1"/>
  <c r="K861" i="3" s="1"/>
  <c r="AE861" i="3" s="1"/>
  <c r="AH861" i="3"/>
  <c r="F861" i="3" l="1"/>
  <c r="I861" i="3"/>
  <c r="J861" i="3"/>
  <c r="AD861" i="3" s="1"/>
  <c r="M861" i="3"/>
  <c r="N861" i="3" s="1"/>
  <c r="V861" i="3"/>
  <c r="A862" i="3"/>
  <c r="B862" i="3" s="1"/>
  <c r="W861" i="3" l="1"/>
  <c r="Z862" i="3"/>
  <c r="AC862" i="3"/>
  <c r="AA862" i="3"/>
  <c r="P862" i="3"/>
  <c r="Q862" i="3" s="1"/>
  <c r="R862" i="3" s="1"/>
  <c r="S862" i="3" s="1"/>
  <c r="L861" i="3"/>
  <c r="T862" i="3" l="1"/>
  <c r="AG862" i="3" s="1"/>
  <c r="U861" i="3"/>
  <c r="Y860" i="3"/>
  <c r="AH862" i="3" l="1"/>
  <c r="D862" i="3"/>
  <c r="E862" i="3"/>
  <c r="H862" i="3" s="1"/>
  <c r="K862" i="3" s="1"/>
  <c r="AE862" i="3" s="1"/>
  <c r="F862" i="3" l="1"/>
  <c r="G862" i="3"/>
  <c r="I862" i="3" s="1"/>
  <c r="V862" i="3"/>
  <c r="A863" i="3"/>
  <c r="B863" i="3" s="1"/>
  <c r="W862" i="3" l="1"/>
  <c r="M862" i="3"/>
  <c r="N862" i="3" s="1"/>
  <c r="J862" i="3"/>
  <c r="AC863" i="3"/>
  <c r="Z863" i="3"/>
  <c r="P863" i="3"/>
  <c r="Q863" i="3" s="1"/>
  <c r="R863" i="3" s="1"/>
  <c r="S863" i="3" s="1"/>
  <c r="AA863" i="3"/>
  <c r="L862" i="3" l="1"/>
  <c r="U862" i="3" s="1"/>
  <c r="AD862" i="3"/>
  <c r="T863" i="3"/>
  <c r="AG863" i="3" l="1"/>
  <c r="Y861" i="3"/>
  <c r="AH863" i="3"/>
  <c r="E863" i="3"/>
  <c r="H863" i="3" s="1"/>
  <c r="K863" i="3" s="1"/>
  <c r="AE863" i="3" s="1"/>
  <c r="D863" i="3"/>
  <c r="F863" i="3" l="1"/>
  <c r="G863" i="3"/>
  <c r="I863" i="3" s="1"/>
  <c r="V863" i="3"/>
  <c r="A864" i="3"/>
  <c r="B864" i="3" s="1"/>
  <c r="M863" i="3" l="1"/>
  <c r="N863" i="3" s="1"/>
  <c r="J863" i="3"/>
  <c r="W863" i="3"/>
  <c r="AC864" i="3"/>
  <c r="AA864" i="3"/>
  <c r="Z864" i="3"/>
  <c r="P864" i="3"/>
  <c r="Q864" i="3" s="1"/>
  <c r="R864" i="3" s="1"/>
  <c r="S864" i="3" s="1"/>
  <c r="L863" i="3" l="1"/>
  <c r="U863" i="3" s="1"/>
  <c r="AD863" i="3"/>
  <c r="T864" i="3"/>
  <c r="AH864" i="3" l="1"/>
  <c r="Y862" i="3"/>
  <c r="AG864" i="3"/>
  <c r="E864" i="3"/>
  <c r="H864" i="3" s="1"/>
  <c r="K864" i="3" s="1"/>
  <c r="AE864" i="3" s="1"/>
  <c r="D864" i="3"/>
  <c r="F864" i="3" l="1"/>
  <c r="G864" i="3"/>
  <c r="I864" i="3" s="1"/>
  <c r="V864" i="3"/>
  <c r="A865" i="3"/>
  <c r="B865" i="3" s="1"/>
  <c r="M864" i="3" l="1"/>
  <c r="N864" i="3" s="1"/>
  <c r="J864" i="3"/>
  <c r="AC865" i="3"/>
  <c r="Z865" i="3"/>
  <c r="AA865" i="3"/>
  <c r="P865" i="3"/>
  <c r="Q865" i="3" s="1"/>
  <c r="R865" i="3" s="1"/>
  <c r="S865" i="3" s="1"/>
  <c r="W864" i="3"/>
  <c r="L864" i="3" l="1"/>
  <c r="U864" i="3" s="1"/>
  <c r="AD864" i="3"/>
  <c r="T865" i="3"/>
  <c r="Y863" i="3" l="1"/>
  <c r="AG865" i="3"/>
  <c r="D865" i="3"/>
  <c r="G865" i="3" s="1"/>
  <c r="AH865" i="3"/>
  <c r="E865" i="3"/>
  <c r="H865" i="3" s="1"/>
  <c r="K865" i="3" s="1"/>
  <c r="AE865" i="3" s="1"/>
  <c r="F865" i="3" l="1"/>
  <c r="V865" i="3"/>
  <c r="A866" i="3"/>
  <c r="B866" i="3" s="1"/>
  <c r="I865" i="3"/>
  <c r="J865" i="3"/>
  <c r="AD865" i="3" s="1"/>
  <c r="M865" i="3"/>
  <c r="N865" i="3" s="1"/>
  <c r="L865" i="3" l="1"/>
  <c r="AC866" i="3"/>
  <c r="P866" i="3"/>
  <c r="Q866" i="3" s="1"/>
  <c r="R866" i="3" s="1"/>
  <c r="S866" i="3" s="1"/>
  <c r="AA866" i="3"/>
  <c r="Z866" i="3"/>
  <c r="W865" i="3"/>
  <c r="T866" i="3" l="1"/>
  <c r="AG866" i="3" s="1"/>
  <c r="U865" i="3"/>
  <c r="Y864" i="3"/>
  <c r="E866" i="3" l="1"/>
  <c r="H866" i="3" s="1"/>
  <c r="K866" i="3" s="1"/>
  <c r="AE866" i="3" s="1"/>
  <c r="AH866" i="3"/>
  <c r="D866" i="3"/>
  <c r="F866" i="3" l="1"/>
  <c r="G866" i="3"/>
  <c r="I866" i="3" s="1"/>
  <c r="V866" i="3"/>
  <c r="A867" i="3"/>
  <c r="B867" i="3" s="1"/>
  <c r="M866" i="3" l="1"/>
  <c r="N866" i="3" s="1"/>
  <c r="J866" i="3"/>
  <c r="W866" i="3"/>
  <c r="AC867" i="3"/>
  <c r="AA867" i="3"/>
  <c r="P867" i="3"/>
  <c r="Q867" i="3" s="1"/>
  <c r="R867" i="3" s="1"/>
  <c r="S867" i="3" s="1"/>
  <c r="Z867" i="3"/>
  <c r="L866" i="3" l="1"/>
  <c r="U866" i="3" s="1"/>
  <c r="AD866" i="3"/>
  <c r="T867" i="3"/>
  <c r="Y865" i="3" l="1"/>
  <c r="AG867" i="3"/>
  <c r="AH867" i="3"/>
  <c r="D867" i="3"/>
  <c r="G867" i="3" s="1"/>
  <c r="E867" i="3"/>
  <c r="H867" i="3" s="1"/>
  <c r="K867" i="3" s="1"/>
  <c r="AE867" i="3" s="1"/>
  <c r="F867" i="3" l="1"/>
  <c r="V867" i="3"/>
  <c r="A868" i="3"/>
  <c r="B868" i="3" s="1"/>
  <c r="I867" i="3"/>
  <c r="J867" i="3"/>
  <c r="AD867" i="3" s="1"/>
  <c r="M867" i="3"/>
  <c r="N867" i="3" s="1"/>
  <c r="P868" i="3" l="1"/>
  <c r="Q868" i="3" s="1"/>
  <c r="R868" i="3" s="1"/>
  <c r="S868" i="3" s="1"/>
  <c r="AA868" i="3"/>
  <c r="Z868" i="3"/>
  <c r="AC868" i="3"/>
  <c r="L867" i="3"/>
  <c r="W867" i="3"/>
  <c r="U867" i="3" l="1"/>
  <c r="Y866" i="3"/>
  <c r="T868" i="3"/>
  <c r="D868" i="3" l="1"/>
  <c r="G868" i="3" s="1"/>
  <c r="AH868" i="3"/>
  <c r="AG868" i="3"/>
  <c r="E868" i="3"/>
  <c r="H868" i="3" s="1"/>
  <c r="K868" i="3" s="1"/>
  <c r="AE868" i="3" s="1"/>
  <c r="F868" i="3" l="1"/>
  <c r="V868" i="3"/>
  <c r="A869" i="3"/>
  <c r="B869" i="3" s="1"/>
  <c r="I868" i="3"/>
  <c r="J868" i="3"/>
  <c r="AD868" i="3" s="1"/>
  <c r="M868" i="3"/>
  <c r="N868" i="3" s="1"/>
  <c r="L868" i="3" l="1"/>
  <c r="Z869" i="3"/>
  <c r="P869" i="3"/>
  <c r="Q869" i="3" s="1"/>
  <c r="R869" i="3" s="1"/>
  <c r="S869" i="3" s="1"/>
  <c r="AC869" i="3"/>
  <c r="AA869" i="3"/>
  <c r="W868" i="3"/>
  <c r="T869" i="3" l="1"/>
  <c r="AH869" i="3" s="1"/>
  <c r="U868" i="3"/>
  <c r="Y867" i="3"/>
  <c r="AG869" i="3" l="1"/>
  <c r="E869" i="3"/>
  <c r="H869" i="3" s="1"/>
  <c r="K869" i="3" s="1"/>
  <c r="AE869" i="3" s="1"/>
  <c r="D869" i="3"/>
  <c r="F869" i="3" l="1"/>
  <c r="G869" i="3"/>
  <c r="I869" i="3" s="1"/>
  <c r="V869" i="3"/>
  <c r="A870" i="3"/>
  <c r="B870" i="3" s="1"/>
  <c r="W869" i="3" l="1"/>
  <c r="M869" i="3"/>
  <c r="N869" i="3" s="1"/>
  <c r="J869" i="3"/>
  <c r="Z870" i="3"/>
  <c r="AA870" i="3"/>
  <c r="AC870" i="3"/>
  <c r="P870" i="3"/>
  <c r="Q870" i="3" s="1"/>
  <c r="R870" i="3" s="1"/>
  <c r="S870" i="3" s="1"/>
  <c r="L869" i="3" l="1"/>
  <c r="U869" i="3" s="1"/>
  <c r="AD869" i="3"/>
  <c r="T870" i="3"/>
  <c r="Y868" i="3" l="1"/>
  <c r="AG870" i="3"/>
  <c r="D870" i="3"/>
  <c r="G870" i="3" s="1"/>
  <c r="AH870" i="3"/>
  <c r="E870" i="3"/>
  <c r="H870" i="3" s="1"/>
  <c r="K870" i="3" s="1"/>
  <c r="AE870" i="3" s="1"/>
  <c r="F870" i="3" l="1"/>
  <c r="I870" i="3"/>
  <c r="J870" i="3"/>
  <c r="AD870" i="3" s="1"/>
  <c r="M870" i="3"/>
  <c r="N870" i="3" s="1"/>
  <c r="V870" i="3"/>
  <c r="A871" i="3"/>
  <c r="B871" i="3" s="1"/>
  <c r="W870" i="3" l="1"/>
  <c r="P871" i="3"/>
  <c r="Q871" i="3" s="1"/>
  <c r="R871" i="3" s="1"/>
  <c r="S871" i="3" s="1"/>
  <c r="AA871" i="3"/>
  <c r="AC871" i="3"/>
  <c r="Z871" i="3"/>
  <c r="L870" i="3"/>
  <c r="T871" i="3" l="1"/>
  <c r="AH871" i="3" s="1"/>
  <c r="U870" i="3"/>
  <c r="Y869" i="3"/>
  <c r="AG871" i="3" l="1"/>
  <c r="E871" i="3"/>
  <c r="H871" i="3" s="1"/>
  <c r="K871" i="3" s="1"/>
  <c r="AE871" i="3" s="1"/>
  <c r="D871" i="3"/>
  <c r="F871" i="3" l="1"/>
  <c r="G871" i="3"/>
  <c r="J871" i="3" s="1"/>
  <c r="AD871" i="3" s="1"/>
  <c r="V871" i="3"/>
  <c r="A872" i="3"/>
  <c r="B872" i="3" s="1"/>
  <c r="I871" i="3" l="1"/>
  <c r="W871" i="3" s="1"/>
  <c r="M871" i="3"/>
  <c r="N871" i="3" s="1"/>
  <c r="Z872" i="3"/>
  <c r="AC872" i="3"/>
  <c r="AA872" i="3"/>
  <c r="P872" i="3"/>
  <c r="Q872" i="3" s="1"/>
  <c r="R872" i="3" s="1"/>
  <c r="S872" i="3" s="1"/>
  <c r="L871" i="3"/>
  <c r="T872" i="3" l="1"/>
  <c r="AG872" i="3" s="1"/>
  <c r="U871" i="3"/>
  <c r="Y870" i="3"/>
  <c r="E872" i="3" l="1"/>
  <c r="H872" i="3" s="1"/>
  <c r="K872" i="3" s="1"/>
  <c r="AE872" i="3" s="1"/>
  <c r="AH872" i="3"/>
  <c r="D872" i="3"/>
  <c r="F872" i="3" l="1"/>
  <c r="G872" i="3"/>
  <c r="I872" i="3" s="1"/>
  <c r="V872" i="3"/>
  <c r="A873" i="3"/>
  <c r="B873" i="3" s="1"/>
  <c r="J872" i="3" l="1"/>
  <c r="M872" i="3"/>
  <c r="N872" i="3" s="1"/>
  <c r="W872" i="3"/>
  <c r="Z873" i="3"/>
  <c r="AA873" i="3"/>
  <c r="P873" i="3"/>
  <c r="Q873" i="3" s="1"/>
  <c r="R873" i="3" s="1"/>
  <c r="S873" i="3" s="1"/>
  <c r="AC873" i="3"/>
  <c r="L872" i="3" l="1"/>
  <c r="U872" i="3" s="1"/>
  <c r="AD872" i="3"/>
  <c r="T873" i="3"/>
  <c r="Y871" i="3"/>
  <c r="AG873" i="3" l="1"/>
  <c r="D873" i="3"/>
  <c r="G873" i="3" s="1"/>
  <c r="AH873" i="3"/>
  <c r="E873" i="3"/>
  <c r="H873" i="3" s="1"/>
  <c r="K873" i="3" s="1"/>
  <c r="AE873" i="3" s="1"/>
  <c r="F873" i="3" l="1"/>
  <c r="V873" i="3"/>
  <c r="A874" i="3"/>
  <c r="B874" i="3" s="1"/>
  <c r="I873" i="3"/>
  <c r="J873" i="3"/>
  <c r="AD873" i="3" s="1"/>
  <c r="M873" i="3"/>
  <c r="N873" i="3" s="1"/>
  <c r="Z874" i="3" l="1"/>
  <c r="P874" i="3"/>
  <c r="Q874" i="3" s="1"/>
  <c r="R874" i="3" s="1"/>
  <c r="S874" i="3" s="1"/>
  <c r="AA874" i="3"/>
  <c r="AC874" i="3"/>
  <c r="L873" i="3"/>
  <c r="W873" i="3"/>
  <c r="U873" i="3" l="1"/>
  <c r="Y872" i="3"/>
  <c r="T874" i="3"/>
  <c r="D874" i="3" l="1"/>
  <c r="G874" i="3" s="1"/>
  <c r="AG874" i="3"/>
  <c r="AH874" i="3"/>
  <c r="E874" i="3"/>
  <c r="H874" i="3" s="1"/>
  <c r="K874" i="3" l="1"/>
  <c r="AE874" i="3" s="1"/>
  <c r="I874" i="3"/>
  <c r="J874" i="3"/>
  <c r="AD874" i="3" s="1"/>
  <c r="M874" i="3"/>
  <c r="N874" i="3" s="1"/>
  <c r="F874" i="3"/>
  <c r="L874" i="3" l="1"/>
  <c r="V874" i="3"/>
  <c r="W874" i="3" s="1"/>
  <c r="A875" i="3"/>
  <c r="B875" i="3" s="1"/>
  <c r="AC875" i="3" l="1"/>
  <c r="Z875" i="3"/>
  <c r="P875" i="3"/>
  <c r="Q875" i="3" s="1"/>
  <c r="R875" i="3" s="1"/>
  <c r="S875" i="3" s="1"/>
  <c r="AA875" i="3"/>
  <c r="U874" i="3"/>
  <c r="Y873" i="3"/>
  <c r="T875" i="3" l="1"/>
  <c r="AH875" i="3" s="1"/>
  <c r="AG875" i="3" l="1"/>
  <c r="E875" i="3"/>
  <c r="H875" i="3" s="1"/>
  <c r="K875" i="3" s="1"/>
  <c r="AE875" i="3" s="1"/>
  <c r="D875" i="3"/>
  <c r="F875" i="3" l="1"/>
  <c r="G875" i="3"/>
  <c r="I875" i="3" s="1"/>
  <c r="V875" i="3"/>
  <c r="A876" i="3"/>
  <c r="B876" i="3" s="1"/>
  <c r="M875" i="3" l="1"/>
  <c r="N875" i="3" s="1"/>
  <c r="J875" i="3"/>
  <c r="W875" i="3"/>
  <c r="AC876" i="3"/>
  <c r="Z876" i="3"/>
  <c r="AA876" i="3"/>
  <c r="P876" i="3"/>
  <c r="Q876" i="3" s="1"/>
  <c r="R876" i="3" s="1"/>
  <c r="S876" i="3" s="1"/>
  <c r="L875" i="3" l="1"/>
  <c r="U875" i="3" s="1"/>
  <c r="AD875" i="3"/>
  <c r="T876" i="3"/>
  <c r="Y874" i="3" l="1"/>
  <c r="AH876" i="3"/>
  <c r="E876" i="3"/>
  <c r="H876" i="3" s="1"/>
  <c r="K876" i="3" s="1"/>
  <c r="AE876" i="3" s="1"/>
  <c r="AG876" i="3"/>
  <c r="D876" i="3"/>
  <c r="F876" i="3" l="1"/>
  <c r="G876" i="3"/>
  <c r="I876" i="3" s="1"/>
  <c r="V876" i="3"/>
  <c r="A877" i="3"/>
  <c r="B877" i="3" s="1"/>
  <c r="W876" i="3" l="1"/>
  <c r="M876" i="3"/>
  <c r="N876" i="3" s="1"/>
  <c r="J876" i="3"/>
  <c r="AA877" i="3"/>
  <c r="P877" i="3"/>
  <c r="Q877" i="3" s="1"/>
  <c r="R877" i="3" s="1"/>
  <c r="S877" i="3" s="1"/>
  <c r="AC877" i="3"/>
  <c r="Z877" i="3"/>
  <c r="L876" i="3" l="1"/>
  <c r="U876" i="3" s="1"/>
  <c r="AD876" i="3"/>
  <c r="T877" i="3"/>
  <c r="AG877" i="3" l="1"/>
  <c r="Y875" i="3"/>
  <c r="E877" i="3"/>
  <c r="H877" i="3" s="1"/>
  <c r="K877" i="3" s="1"/>
  <c r="AE877" i="3" s="1"/>
  <c r="AH877" i="3"/>
  <c r="D877" i="3"/>
  <c r="F877" i="3" l="1"/>
  <c r="G877" i="3"/>
  <c r="V877" i="3"/>
  <c r="A878" i="3"/>
  <c r="B878" i="3" s="1"/>
  <c r="Z878" i="3" l="1"/>
  <c r="AC878" i="3"/>
  <c r="P878" i="3"/>
  <c r="Q878" i="3" s="1"/>
  <c r="R878" i="3" s="1"/>
  <c r="S878" i="3" s="1"/>
  <c r="AA878" i="3"/>
  <c r="I877" i="3"/>
  <c r="W877" i="3" s="1"/>
  <c r="J877" i="3"/>
  <c r="AD877" i="3" s="1"/>
  <c r="M877" i="3"/>
  <c r="N877" i="3" s="1"/>
  <c r="T878" i="3" l="1"/>
  <c r="L877" i="3"/>
  <c r="U877" i="3" l="1"/>
  <c r="E878" i="3" s="1"/>
  <c r="H878" i="3" s="1"/>
  <c r="AH878" i="3"/>
  <c r="AG878" i="3"/>
  <c r="Y876" i="3"/>
  <c r="D878" i="3" l="1"/>
  <c r="F878" i="3" s="1"/>
  <c r="K878" i="3"/>
  <c r="AE878" i="3" s="1"/>
  <c r="G878" i="3" l="1"/>
  <c r="I878" i="3" s="1"/>
  <c r="V878" i="3"/>
  <c r="A879" i="3"/>
  <c r="B879" i="3" s="1"/>
  <c r="M878" i="3" l="1"/>
  <c r="N878" i="3" s="1"/>
  <c r="J878" i="3"/>
  <c r="W878" i="3"/>
  <c r="AA879" i="3"/>
  <c r="Z879" i="3"/>
  <c r="P879" i="3"/>
  <c r="Q879" i="3" s="1"/>
  <c r="R879" i="3" s="1"/>
  <c r="S879" i="3" s="1"/>
  <c r="AC879" i="3"/>
  <c r="L878" i="3" l="1"/>
  <c r="U878" i="3" s="1"/>
  <c r="AD878" i="3"/>
  <c r="T879" i="3"/>
  <c r="Y877" i="3" l="1"/>
  <c r="AG879" i="3"/>
  <c r="D879" i="3"/>
  <c r="G879" i="3" s="1"/>
  <c r="AH879" i="3"/>
  <c r="E879" i="3"/>
  <c r="H879" i="3" s="1"/>
  <c r="K879" i="3" s="1"/>
  <c r="AE879" i="3" s="1"/>
  <c r="F879" i="3" l="1"/>
  <c r="I879" i="3"/>
  <c r="J879" i="3"/>
  <c r="AD879" i="3" s="1"/>
  <c r="M879" i="3"/>
  <c r="N879" i="3" s="1"/>
  <c r="V879" i="3"/>
  <c r="A880" i="3"/>
  <c r="B880" i="3" s="1"/>
  <c r="W879" i="3" l="1"/>
  <c r="P880" i="3"/>
  <c r="Q880" i="3" s="1"/>
  <c r="R880" i="3" s="1"/>
  <c r="S880" i="3" s="1"/>
  <c r="Z880" i="3"/>
  <c r="AC880" i="3"/>
  <c r="AA880" i="3"/>
  <c r="L879" i="3"/>
  <c r="U879" i="3" l="1"/>
  <c r="Y878" i="3"/>
  <c r="T880" i="3"/>
  <c r="E880" i="3" l="1"/>
  <c r="H880" i="3" s="1"/>
  <c r="K880" i="3" s="1"/>
  <c r="AE880" i="3" s="1"/>
  <c r="AH880" i="3"/>
  <c r="D880" i="3"/>
  <c r="AG880" i="3"/>
  <c r="F880" i="3" l="1"/>
  <c r="G880" i="3"/>
  <c r="V880" i="3"/>
  <c r="A881" i="3"/>
  <c r="B881" i="3" s="1"/>
  <c r="P881" i="3" l="1"/>
  <c r="Q881" i="3" s="1"/>
  <c r="R881" i="3" s="1"/>
  <c r="S881" i="3" s="1"/>
  <c r="AA881" i="3"/>
  <c r="Z881" i="3"/>
  <c r="AC881" i="3"/>
  <c r="I880" i="3"/>
  <c r="W880" i="3" s="1"/>
  <c r="J880" i="3"/>
  <c r="AD880" i="3" s="1"/>
  <c r="M880" i="3"/>
  <c r="N880" i="3" s="1"/>
  <c r="L880" i="3" l="1"/>
  <c r="T881" i="3"/>
  <c r="AG881" i="3" l="1"/>
  <c r="U880" i="3"/>
  <c r="E881" i="3" s="1"/>
  <c r="H881" i="3" s="1"/>
  <c r="AH881" i="3"/>
  <c r="Y879" i="3"/>
  <c r="D881" i="3" l="1"/>
  <c r="F881" i="3" s="1"/>
  <c r="K881" i="3"/>
  <c r="AE881" i="3" s="1"/>
  <c r="G881" i="3" l="1"/>
  <c r="I881" i="3" s="1"/>
  <c r="V881" i="3"/>
  <c r="A882" i="3"/>
  <c r="B882" i="3" s="1"/>
  <c r="M881" i="3" l="1"/>
  <c r="N881" i="3" s="1"/>
  <c r="J881" i="3"/>
  <c r="W881" i="3"/>
  <c r="Z882" i="3"/>
  <c r="P882" i="3"/>
  <c r="Q882" i="3" s="1"/>
  <c r="R882" i="3" s="1"/>
  <c r="S882" i="3" s="1"/>
  <c r="AC882" i="3"/>
  <c r="AA882" i="3"/>
  <c r="L881" i="3" l="1"/>
  <c r="U881" i="3" s="1"/>
  <c r="AD881" i="3"/>
  <c r="T882" i="3"/>
  <c r="Y880" i="3" l="1"/>
  <c r="AG882" i="3"/>
  <c r="E882" i="3"/>
  <c r="H882" i="3" s="1"/>
  <c r="K882" i="3" s="1"/>
  <c r="AE882" i="3" s="1"/>
  <c r="AH882" i="3"/>
  <c r="D882" i="3"/>
  <c r="F882" i="3" l="1"/>
  <c r="G882" i="3"/>
  <c r="I882" i="3" s="1"/>
  <c r="V882" i="3"/>
  <c r="A883" i="3"/>
  <c r="B883" i="3" s="1"/>
  <c r="M882" i="3" l="1"/>
  <c r="N882" i="3" s="1"/>
  <c r="J882" i="3"/>
  <c r="W882" i="3"/>
  <c r="P883" i="3"/>
  <c r="Q883" i="3" s="1"/>
  <c r="R883" i="3" s="1"/>
  <c r="S883" i="3" s="1"/>
  <c r="AC883" i="3"/>
  <c r="AA883" i="3"/>
  <c r="Z883" i="3"/>
  <c r="L882" i="3" l="1"/>
  <c r="U882" i="3" s="1"/>
  <c r="AD882" i="3"/>
  <c r="T883" i="3"/>
  <c r="Y881" i="3" l="1"/>
  <c r="AG883" i="3"/>
  <c r="D883" i="3"/>
  <c r="G883" i="3" s="1"/>
  <c r="AH883" i="3"/>
  <c r="E883" i="3"/>
  <c r="H883" i="3" s="1"/>
  <c r="K883" i="3" l="1"/>
  <c r="AE883" i="3" s="1"/>
  <c r="I883" i="3"/>
  <c r="J883" i="3"/>
  <c r="AD883" i="3" s="1"/>
  <c r="M883" i="3"/>
  <c r="N883" i="3" s="1"/>
  <c r="F883" i="3"/>
  <c r="L883" i="3" l="1"/>
  <c r="V883" i="3"/>
  <c r="W883" i="3" s="1"/>
  <c r="A884" i="3"/>
  <c r="B884" i="3" s="1"/>
  <c r="P884" i="3" l="1"/>
  <c r="Q884" i="3" s="1"/>
  <c r="R884" i="3" s="1"/>
  <c r="S884" i="3" s="1"/>
  <c r="Z884" i="3"/>
  <c r="AC884" i="3"/>
  <c r="AA884" i="3"/>
  <c r="U883" i="3"/>
  <c r="Y882" i="3"/>
  <c r="T884" i="3" l="1"/>
  <c r="AH884" i="3" l="1"/>
  <c r="AG884" i="3"/>
  <c r="E884" i="3"/>
  <c r="H884" i="3" s="1"/>
  <c r="D884" i="3"/>
  <c r="F884" i="3" l="1"/>
  <c r="G884" i="3"/>
  <c r="K884" i="3"/>
  <c r="AE884" i="3" s="1"/>
  <c r="V884" i="3" l="1"/>
  <c r="A885" i="3"/>
  <c r="B885" i="3" s="1"/>
  <c r="I884" i="3"/>
  <c r="J884" i="3"/>
  <c r="AD884" i="3" s="1"/>
  <c r="M884" i="3"/>
  <c r="N884" i="3" s="1"/>
  <c r="AA885" i="3" l="1"/>
  <c r="P885" i="3"/>
  <c r="Q885" i="3" s="1"/>
  <c r="R885" i="3" s="1"/>
  <c r="S885" i="3" s="1"/>
  <c r="Z885" i="3"/>
  <c r="AC885" i="3"/>
  <c r="L884" i="3"/>
  <c r="W884" i="3"/>
  <c r="U884" i="3" l="1"/>
  <c r="Y883" i="3"/>
  <c r="T885" i="3"/>
  <c r="AG885" i="3" s="1"/>
  <c r="E885" i="3" l="1"/>
  <c r="H885" i="3" s="1"/>
  <c r="D885" i="3"/>
  <c r="AH885" i="3"/>
  <c r="F885" i="3" l="1"/>
  <c r="G885" i="3"/>
  <c r="K885" i="3"/>
  <c r="AE885" i="3" s="1"/>
  <c r="V885" i="3" l="1"/>
  <c r="A886" i="3"/>
  <c r="B886" i="3" s="1"/>
  <c r="I885" i="3"/>
  <c r="J885" i="3"/>
  <c r="AD885" i="3" s="1"/>
  <c r="M885" i="3"/>
  <c r="N885" i="3" s="1"/>
  <c r="L885" i="3" l="1"/>
  <c r="AC886" i="3"/>
  <c r="Z886" i="3"/>
  <c r="AA886" i="3"/>
  <c r="P886" i="3"/>
  <c r="Q886" i="3" s="1"/>
  <c r="R886" i="3" s="1"/>
  <c r="S886" i="3" s="1"/>
  <c r="W885" i="3"/>
  <c r="T886" i="3" l="1"/>
  <c r="AG886" i="3" s="1"/>
  <c r="U885" i="3"/>
  <c r="Y884" i="3"/>
  <c r="D886" i="3" l="1"/>
  <c r="G886" i="3" s="1"/>
  <c r="AH886" i="3"/>
  <c r="E886" i="3"/>
  <c r="H886" i="3" s="1"/>
  <c r="K886" i="3" s="1"/>
  <c r="AE886" i="3" s="1"/>
  <c r="F886" i="3" l="1"/>
  <c r="V886" i="3"/>
  <c r="A887" i="3"/>
  <c r="B887" i="3" s="1"/>
  <c r="I886" i="3"/>
  <c r="J886" i="3"/>
  <c r="AD886" i="3" s="1"/>
  <c r="M886" i="3"/>
  <c r="N886" i="3" s="1"/>
  <c r="L886" i="3" l="1"/>
  <c r="P887" i="3"/>
  <c r="Q887" i="3" s="1"/>
  <c r="R887" i="3" s="1"/>
  <c r="S887" i="3" s="1"/>
  <c r="AA887" i="3"/>
  <c r="AC887" i="3"/>
  <c r="Z887" i="3"/>
  <c r="W886" i="3"/>
  <c r="T887" i="3" l="1"/>
  <c r="AH887" i="3" s="1"/>
  <c r="U886" i="3"/>
  <c r="Y885" i="3"/>
  <c r="AG887" i="3" l="1"/>
  <c r="D887" i="3"/>
  <c r="G887" i="3" s="1"/>
  <c r="E887" i="3"/>
  <c r="H887" i="3" s="1"/>
  <c r="K887" i="3" s="1"/>
  <c r="AE887" i="3" s="1"/>
  <c r="F887" i="3" l="1"/>
  <c r="V887" i="3"/>
  <c r="A888" i="3"/>
  <c r="B888" i="3" s="1"/>
  <c r="I887" i="3"/>
  <c r="J887" i="3"/>
  <c r="AD887" i="3" s="1"/>
  <c r="M887" i="3"/>
  <c r="N887" i="3" s="1"/>
  <c r="P888" i="3" l="1"/>
  <c r="Q888" i="3" s="1"/>
  <c r="R888" i="3" s="1"/>
  <c r="S888" i="3" s="1"/>
  <c r="Z888" i="3"/>
  <c r="AC888" i="3"/>
  <c r="AA888" i="3"/>
  <c r="L887" i="3"/>
  <c r="W887" i="3"/>
  <c r="T888" i="3" l="1"/>
  <c r="AG888" i="3" s="1"/>
  <c r="U887" i="3"/>
  <c r="Y886" i="3"/>
  <c r="E888" i="3" l="1"/>
  <c r="H888" i="3" s="1"/>
  <c r="K888" i="3" s="1"/>
  <c r="AE888" i="3" s="1"/>
  <c r="AH888" i="3"/>
  <c r="D888" i="3"/>
  <c r="F888" i="3" l="1"/>
  <c r="G888" i="3"/>
  <c r="I888" i="3" s="1"/>
  <c r="V888" i="3"/>
  <c r="A889" i="3"/>
  <c r="B889" i="3" s="1"/>
  <c r="M888" i="3" l="1"/>
  <c r="N888" i="3" s="1"/>
  <c r="J888" i="3"/>
  <c r="Z889" i="3"/>
  <c r="P889" i="3"/>
  <c r="Q889" i="3" s="1"/>
  <c r="R889" i="3" s="1"/>
  <c r="S889" i="3" s="1"/>
  <c r="AC889" i="3"/>
  <c r="AA889" i="3"/>
  <c r="W888" i="3"/>
  <c r="L888" i="3" l="1"/>
  <c r="U888" i="3" s="1"/>
  <c r="AD888" i="3"/>
  <c r="T889" i="3"/>
  <c r="Y887" i="3" l="1"/>
  <c r="AH889" i="3"/>
  <c r="E889" i="3"/>
  <c r="H889" i="3" s="1"/>
  <c r="K889" i="3" s="1"/>
  <c r="AE889" i="3" s="1"/>
  <c r="D889" i="3"/>
  <c r="G889" i="3" s="1"/>
  <c r="AG889" i="3"/>
  <c r="F889" i="3" l="1"/>
  <c r="I889" i="3"/>
  <c r="J889" i="3"/>
  <c r="AD889" i="3" s="1"/>
  <c r="M889" i="3"/>
  <c r="N889" i="3" s="1"/>
  <c r="V889" i="3"/>
  <c r="A890" i="3"/>
  <c r="B890" i="3" s="1"/>
  <c r="W889" i="3" l="1"/>
  <c r="L889" i="3"/>
  <c r="AA890" i="3"/>
  <c r="P890" i="3"/>
  <c r="Q890" i="3" s="1"/>
  <c r="R890" i="3" s="1"/>
  <c r="S890" i="3" s="1"/>
  <c r="Z890" i="3"/>
  <c r="AC890" i="3"/>
  <c r="T890" i="3" l="1"/>
  <c r="AH890" i="3" s="1"/>
  <c r="U889" i="3"/>
  <c r="Y888" i="3"/>
  <c r="D890" i="3" l="1"/>
  <c r="G890" i="3" s="1"/>
  <c r="AG890" i="3"/>
  <c r="E890" i="3"/>
  <c r="H890" i="3" s="1"/>
  <c r="K890" i="3" s="1"/>
  <c r="AE890" i="3" s="1"/>
  <c r="F890" i="3" l="1"/>
  <c r="V890" i="3"/>
  <c r="A891" i="3"/>
  <c r="B891" i="3" s="1"/>
  <c r="I890" i="3"/>
  <c r="J890" i="3"/>
  <c r="AD890" i="3" s="1"/>
  <c r="M890" i="3"/>
  <c r="N890" i="3" s="1"/>
  <c r="L890" i="3" l="1"/>
  <c r="AA891" i="3"/>
  <c r="P891" i="3"/>
  <c r="Q891" i="3" s="1"/>
  <c r="R891" i="3" s="1"/>
  <c r="S891" i="3" s="1"/>
  <c r="AC891" i="3"/>
  <c r="Z891" i="3"/>
  <c r="W890" i="3"/>
  <c r="T891" i="3" l="1"/>
  <c r="AH891" i="3" s="1"/>
  <c r="U890" i="3"/>
  <c r="Y889" i="3"/>
  <c r="AG891" i="3" l="1"/>
  <c r="E891" i="3"/>
  <c r="H891" i="3" s="1"/>
  <c r="K891" i="3" s="1"/>
  <c r="AE891" i="3" s="1"/>
  <c r="D891" i="3"/>
  <c r="F891" i="3" l="1"/>
  <c r="G891" i="3"/>
  <c r="I891" i="3" s="1"/>
  <c r="V891" i="3"/>
  <c r="A892" i="3"/>
  <c r="B892" i="3" s="1"/>
  <c r="M891" i="3" l="1"/>
  <c r="N891" i="3" s="1"/>
  <c r="J891" i="3"/>
  <c r="W891" i="3"/>
  <c r="AA892" i="3"/>
  <c r="Z892" i="3"/>
  <c r="AC892" i="3"/>
  <c r="P892" i="3"/>
  <c r="Q892" i="3" s="1"/>
  <c r="R892" i="3" s="1"/>
  <c r="S892" i="3" s="1"/>
  <c r="L891" i="3" l="1"/>
  <c r="U891" i="3" s="1"/>
  <c r="AD891" i="3"/>
  <c r="T892" i="3"/>
  <c r="Y890" i="3" l="1"/>
  <c r="AH892" i="3"/>
  <c r="AG892" i="3"/>
  <c r="D892" i="3"/>
  <c r="G892" i="3" s="1"/>
  <c r="E892" i="3"/>
  <c r="H892" i="3" s="1"/>
  <c r="K892" i="3" s="1"/>
  <c r="AE892" i="3" s="1"/>
  <c r="F892" i="3" l="1"/>
  <c r="V892" i="3"/>
  <c r="A893" i="3"/>
  <c r="B893" i="3" s="1"/>
  <c r="I892" i="3"/>
  <c r="J892" i="3"/>
  <c r="AD892" i="3" s="1"/>
  <c r="M892" i="3"/>
  <c r="N892" i="3" s="1"/>
  <c r="L892" i="3" l="1"/>
  <c r="Z893" i="3"/>
  <c r="AC893" i="3"/>
  <c r="P893" i="3"/>
  <c r="Q893" i="3" s="1"/>
  <c r="R893" i="3" s="1"/>
  <c r="S893" i="3" s="1"/>
  <c r="AA893" i="3"/>
  <c r="W892" i="3"/>
  <c r="U892" i="3" l="1"/>
  <c r="Y891" i="3"/>
  <c r="T893" i="3"/>
  <c r="AG893" i="3" s="1"/>
  <c r="E893" i="3" l="1"/>
  <c r="H893" i="3" s="1"/>
  <c r="AH893" i="3"/>
  <c r="D893" i="3"/>
  <c r="F893" i="3" l="1"/>
  <c r="G893" i="3"/>
  <c r="K893" i="3"/>
  <c r="AE893" i="3" s="1"/>
  <c r="V893" i="3" l="1"/>
  <c r="A894" i="3"/>
  <c r="B894" i="3" s="1"/>
  <c r="I893" i="3"/>
  <c r="J893" i="3"/>
  <c r="AD893" i="3" s="1"/>
  <c r="M893" i="3"/>
  <c r="N893" i="3" s="1"/>
  <c r="L893" i="3" l="1"/>
  <c r="P894" i="3"/>
  <c r="Q894" i="3" s="1"/>
  <c r="R894" i="3" s="1"/>
  <c r="S894" i="3" s="1"/>
  <c r="AC894" i="3"/>
  <c r="AA894" i="3"/>
  <c r="Z894" i="3"/>
  <c r="W893" i="3"/>
  <c r="T894" i="3" l="1"/>
  <c r="AH894" i="3" s="1"/>
  <c r="U893" i="3"/>
  <c r="Y892" i="3"/>
  <c r="D894" i="3" l="1"/>
  <c r="G894" i="3" s="1"/>
  <c r="E894" i="3"/>
  <c r="H894" i="3" s="1"/>
  <c r="K894" i="3" s="1"/>
  <c r="AE894" i="3" s="1"/>
  <c r="AG894" i="3"/>
  <c r="F894" i="3" l="1"/>
  <c r="V894" i="3"/>
  <c r="A895" i="3"/>
  <c r="B895" i="3" s="1"/>
  <c r="I894" i="3"/>
  <c r="J894" i="3"/>
  <c r="AD894" i="3" s="1"/>
  <c r="M894" i="3"/>
  <c r="N894" i="3" s="1"/>
  <c r="L894" i="3" l="1"/>
  <c r="AA895" i="3"/>
  <c r="P895" i="3"/>
  <c r="Q895" i="3" s="1"/>
  <c r="R895" i="3" s="1"/>
  <c r="S895" i="3" s="1"/>
  <c r="Z895" i="3"/>
  <c r="AC895" i="3"/>
  <c r="W894" i="3"/>
  <c r="U894" i="3" l="1"/>
  <c r="Y893" i="3"/>
  <c r="T895" i="3"/>
  <c r="E895" i="3" l="1"/>
  <c r="H895" i="3" s="1"/>
  <c r="K895" i="3" s="1"/>
  <c r="AE895" i="3" s="1"/>
  <c r="AG895" i="3"/>
  <c r="D895" i="3"/>
  <c r="AH895" i="3"/>
  <c r="F895" i="3" l="1"/>
  <c r="G895" i="3"/>
  <c r="V895" i="3"/>
  <c r="A896" i="3"/>
  <c r="B896" i="3" s="1"/>
  <c r="AA896" i="3" l="1"/>
  <c r="Z896" i="3"/>
  <c r="P896" i="3"/>
  <c r="Q896" i="3" s="1"/>
  <c r="R896" i="3" s="1"/>
  <c r="S896" i="3" s="1"/>
  <c r="AC896" i="3"/>
  <c r="I895" i="3"/>
  <c r="W895" i="3" s="1"/>
  <c r="J895" i="3"/>
  <c r="AD895" i="3" s="1"/>
  <c r="M895" i="3"/>
  <c r="N895" i="3" s="1"/>
  <c r="T896" i="3" l="1"/>
  <c r="L895" i="3"/>
  <c r="AG896" i="3" l="1"/>
  <c r="AH896" i="3"/>
  <c r="U895" i="3"/>
  <c r="D896" i="3" s="1"/>
  <c r="Y894" i="3"/>
  <c r="G896" i="3" l="1"/>
  <c r="E896" i="3"/>
  <c r="H896" i="3" s="1"/>
  <c r="K896" i="3" l="1"/>
  <c r="AE896" i="3" s="1"/>
  <c r="I896" i="3"/>
  <c r="J896" i="3"/>
  <c r="AD896" i="3" s="1"/>
  <c r="M896" i="3"/>
  <c r="N896" i="3" s="1"/>
  <c r="F896" i="3"/>
  <c r="L896" i="3" l="1"/>
  <c r="V896" i="3"/>
  <c r="W896" i="3" s="1"/>
  <c r="A897" i="3"/>
  <c r="B897" i="3" s="1"/>
  <c r="P897" i="3" l="1"/>
  <c r="Q897" i="3" s="1"/>
  <c r="R897" i="3" s="1"/>
  <c r="S897" i="3" s="1"/>
  <c r="AC897" i="3"/>
  <c r="AA897" i="3"/>
  <c r="Z897" i="3"/>
  <c r="U896" i="3"/>
  <c r="Y895" i="3"/>
  <c r="T897" i="3" l="1"/>
  <c r="AH897" i="3" s="1"/>
  <c r="AG897" i="3" l="1"/>
  <c r="E897" i="3"/>
  <c r="H897" i="3" s="1"/>
  <c r="D897" i="3"/>
  <c r="K897" i="3" l="1"/>
  <c r="AE897" i="3" s="1"/>
  <c r="F897" i="3"/>
  <c r="G897" i="3"/>
  <c r="I897" i="3" l="1"/>
  <c r="J897" i="3"/>
  <c r="AD897" i="3" s="1"/>
  <c r="M897" i="3"/>
  <c r="N897" i="3" s="1"/>
  <c r="V897" i="3"/>
  <c r="A898" i="3"/>
  <c r="B898" i="3" s="1"/>
  <c r="W897" i="3" l="1"/>
  <c r="P898" i="3"/>
  <c r="Q898" i="3" s="1"/>
  <c r="R898" i="3" s="1"/>
  <c r="S898" i="3" s="1"/>
  <c r="AA898" i="3"/>
  <c r="Z898" i="3"/>
  <c r="AC898" i="3"/>
  <c r="L897" i="3"/>
  <c r="U897" i="3" l="1"/>
  <c r="Y896" i="3"/>
  <c r="T898" i="3"/>
  <c r="AH898" i="3" s="1"/>
  <c r="E898" i="3" l="1"/>
  <c r="H898" i="3" s="1"/>
  <c r="K898" i="3" s="1"/>
  <c r="AE898" i="3" s="1"/>
  <c r="D898" i="3"/>
  <c r="AG898" i="3"/>
  <c r="V898" i="3" l="1"/>
  <c r="A899" i="3"/>
  <c r="B899" i="3" s="1"/>
  <c r="F898" i="3"/>
  <c r="G898" i="3"/>
  <c r="AC899" i="3" l="1"/>
  <c r="Z899" i="3"/>
  <c r="P899" i="3"/>
  <c r="Q899" i="3" s="1"/>
  <c r="R899" i="3" s="1"/>
  <c r="S899" i="3" s="1"/>
  <c r="AA899" i="3"/>
  <c r="I898" i="3"/>
  <c r="W898" i="3" s="1"/>
  <c r="J898" i="3"/>
  <c r="AD898" i="3" s="1"/>
  <c r="M898" i="3"/>
  <c r="N898" i="3" s="1"/>
  <c r="T899" i="3" l="1"/>
  <c r="L898" i="3"/>
  <c r="AH899" i="3" l="1"/>
  <c r="U898" i="3"/>
  <c r="D899" i="3" s="1"/>
  <c r="AG899" i="3"/>
  <c r="Y897" i="3"/>
  <c r="E899" i="3" l="1"/>
  <c r="H899" i="3" s="1"/>
  <c r="K899" i="3" s="1"/>
  <c r="AE899" i="3" s="1"/>
  <c r="G899" i="3"/>
  <c r="F899" i="3" l="1"/>
  <c r="V899" i="3"/>
  <c r="A900" i="3"/>
  <c r="B900" i="3" s="1"/>
  <c r="I899" i="3"/>
  <c r="J899" i="3"/>
  <c r="AD899" i="3" s="1"/>
  <c r="M899" i="3"/>
  <c r="N899" i="3" s="1"/>
  <c r="AC900" i="3" l="1"/>
  <c r="AA900" i="3"/>
  <c r="Z900" i="3"/>
  <c r="P900" i="3"/>
  <c r="Q900" i="3" s="1"/>
  <c r="R900" i="3" s="1"/>
  <c r="S900" i="3" s="1"/>
  <c r="L899" i="3"/>
  <c r="W899" i="3"/>
  <c r="T900" i="3" l="1"/>
  <c r="AG900" i="3" s="1"/>
  <c r="U899" i="3"/>
  <c r="Y898" i="3"/>
  <c r="D900" i="3" l="1"/>
  <c r="G900" i="3" s="1"/>
  <c r="E900" i="3"/>
  <c r="H900" i="3" s="1"/>
  <c r="K900" i="3" s="1"/>
  <c r="AE900" i="3" s="1"/>
  <c r="AH900" i="3"/>
  <c r="F900" i="3" l="1"/>
  <c r="V900" i="3"/>
  <c r="A901" i="3"/>
  <c r="B901" i="3" s="1"/>
  <c r="I900" i="3"/>
  <c r="J900" i="3"/>
  <c r="AD900" i="3" s="1"/>
  <c r="M900" i="3"/>
  <c r="N900" i="3" s="1"/>
  <c r="L900" i="3" l="1"/>
  <c r="AC901" i="3"/>
  <c r="Z901" i="3"/>
  <c r="P901" i="3"/>
  <c r="Q901" i="3" s="1"/>
  <c r="R901" i="3" s="1"/>
  <c r="S901" i="3" s="1"/>
  <c r="AA901" i="3"/>
  <c r="W900" i="3"/>
  <c r="T901" i="3" l="1"/>
  <c r="AH901" i="3" s="1"/>
  <c r="U900" i="3"/>
  <c r="Y899" i="3"/>
  <c r="D901" i="3" l="1"/>
  <c r="G901" i="3" s="1"/>
  <c r="AG901" i="3"/>
  <c r="E901" i="3"/>
  <c r="H901" i="3" s="1"/>
  <c r="K901" i="3" s="1"/>
  <c r="AE901" i="3" s="1"/>
  <c r="F901" i="3" l="1"/>
  <c r="V901" i="3"/>
  <c r="A902" i="3"/>
  <c r="B902" i="3" s="1"/>
  <c r="I901" i="3"/>
  <c r="J901" i="3"/>
  <c r="AD901" i="3" s="1"/>
  <c r="M901" i="3"/>
  <c r="N901" i="3" s="1"/>
  <c r="L901" i="3" l="1"/>
  <c r="AC902" i="3"/>
  <c r="P902" i="3"/>
  <c r="Q902" i="3" s="1"/>
  <c r="R902" i="3" s="1"/>
  <c r="S902" i="3" s="1"/>
  <c r="Z902" i="3"/>
  <c r="AA902" i="3"/>
  <c r="W901" i="3"/>
  <c r="T902" i="3" l="1"/>
  <c r="AG902" i="3" s="1"/>
  <c r="U901" i="3"/>
  <c r="Y900" i="3"/>
  <c r="E902" i="3" l="1"/>
  <c r="H902" i="3" s="1"/>
  <c r="K902" i="3" s="1"/>
  <c r="AE902" i="3" s="1"/>
  <c r="AH902" i="3"/>
  <c r="D902" i="3"/>
  <c r="F902" i="3" l="1"/>
  <c r="G902" i="3"/>
  <c r="V902" i="3"/>
  <c r="A903" i="3"/>
  <c r="B903" i="3" s="1"/>
  <c r="P903" i="3" l="1"/>
  <c r="Q903" i="3" s="1"/>
  <c r="R903" i="3" s="1"/>
  <c r="S903" i="3" s="1"/>
  <c r="AC903" i="3"/>
  <c r="Z903" i="3"/>
  <c r="AA903" i="3"/>
  <c r="I902" i="3"/>
  <c r="W902" i="3" s="1"/>
  <c r="J902" i="3"/>
  <c r="AD902" i="3" s="1"/>
  <c r="M902" i="3"/>
  <c r="N902" i="3" s="1"/>
  <c r="L902" i="3" l="1"/>
  <c r="T903" i="3"/>
  <c r="AH903" i="3" l="1"/>
  <c r="AG903" i="3"/>
  <c r="U902" i="3"/>
  <c r="D903" i="3" s="1"/>
  <c r="Y901" i="3"/>
  <c r="G903" i="3" l="1"/>
  <c r="E903" i="3"/>
  <c r="H903" i="3" s="1"/>
  <c r="I903" i="3" l="1"/>
  <c r="J903" i="3"/>
  <c r="AD903" i="3" s="1"/>
  <c r="M903" i="3"/>
  <c r="N903" i="3" s="1"/>
  <c r="K903" i="3"/>
  <c r="AE903" i="3" s="1"/>
  <c r="F903" i="3"/>
  <c r="V903" i="3" l="1"/>
  <c r="W903" i="3" s="1"/>
  <c r="A904" i="3"/>
  <c r="B904" i="3" s="1"/>
  <c r="L903" i="3"/>
  <c r="AC904" i="3" l="1"/>
  <c r="Z904" i="3"/>
  <c r="P904" i="3"/>
  <c r="Q904" i="3" s="1"/>
  <c r="R904" i="3" s="1"/>
  <c r="S904" i="3" s="1"/>
  <c r="AA904" i="3"/>
  <c r="U903" i="3"/>
  <c r="Y902" i="3"/>
  <c r="T904" i="3" l="1"/>
  <c r="AG904" i="3" s="1"/>
  <c r="AH904" i="3" l="1"/>
  <c r="E904" i="3"/>
  <c r="H904" i="3" s="1"/>
  <c r="K904" i="3" s="1"/>
  <c r="AE904" i="3" s="1"/>
  <c r="D904" i="3"/>
  <c r="F904" i="3" l="1"/>
  <c r="G904" i="3"/>
  <c r="I904" i="3" s="1"/>
  <c r="V904" i="3"/>
  <c r="A905" i="3"/>
  <c r="B905" i="3" s="1"/>
  <c r="M904" i="3" l="1"/>
  <c r="N904" i="3" s="1"/>
  <c r="J904" i="3"/>
  <c r="AA905" i="3"/>
  <c r="Z905" i="3"/>
  <c r="AC905" i="3"/>
  <c r="P905" i="3"/>
  <c r="Q905" i="3" s="1"/>
  <c r="R905" i="3" s="1"/>
  <c r="S905" i="3" s="1"/>
  <c r="W904" i="3"/>
  <c r="L904" i="3" l="1"/>
  <c r="U904" i="3" s="1"/>
  <c r="AD904" i="3"/>
  <c r="T905" i="3"/>
  <c r="AG905" i="3" l="1"/>
  <c r="Y903" i="3"/>
  <c r="AH905" i="3"/>
  <c r="D905" i="3"/>
  <c r="G905" i="3" s="1"/>
  <c r="E905" i="3"/>
  <c r="H905" i="3" s="1"/>
  <c r="K905" i="3" s="1"/>
  <c r="AE905" i="3" s="1"/>
  <c r="F905" i="3" l="1"/>
  <c r="V905" i="3"/>
  <c r="A906" i="3"/>
  <c r="B906" i="3" s="1"/>
  <c r="I905" i="3"/>
  <c r="J905" i="3"/>
  <c r="AD905" i="3" s="1"/>
  <c r="M905" i="3"/>
  <c r="N905" i="3" s="1"/>
  <c r="AA906" i="3" l="1"/>
  <c r="P906" i="3"/>
  <c r="Q906" i="3" s="1"/>
  <c r="R906" i="3" s="1"/>
  <c r="S906" i="3" s="1"/>
  <c r="Z906" i="3"/>
  <c r="AC906" i="3"/>
  <c r="L905" i="3"/>
  <c r="W905" i="3"/>
  <c r="T906" i="3" l="1"/>
  <c r="AG906" i="3" s="1"/>
  <c r="U905" i="3"/>
  <c r="Y904" i="3"/>
  <c r="AH906" i="3" l="1"/>
  <c r="E906" i="3"/>
  <c r="H906" i="3" s="1"/>
  <c r="K906" i="3" s="1"/>
  <c r="AE906" i="3" s="1"/>
  <c r="D906" i="3"/>
  <c r="F906" i="3" l="1"/>
  <c r="G906" i="3"/>
  <c r="I906" i="3" s="1"/>
  <c r="V906" i="3"/>
  <c r="A907" i="3"/>
  <c r="B907" i="3" s="1"/>
  <c r="M906" i="3" l="1"/>
  <c r="N906" i="3" s="1"/>
  <c r="J906" i="3"/>
  <c r="AD906" i="3" s="1"/>
  <c r="P907" i="3"/>
  <c r="Q907" i="3" s="1"/>
  <c r="R907" i="3" s="1"/>
  <c r="S907" i="3" s="1"/>
  <c r="Z907" i="3"/>
  <c r="AC907" i="3"/>
  <c r="AA907" i="3"/>
  <c r="W906" i="3"/>
  <c r="L906" i="3" l="1"/>
  <c r="U906" i="3" s="1"/>
  <c r="T907" i="3"/>
  <c r="Y905" i="3" l="1"/>
  <c r="AH907" i="3"/>
  <c r="D907" i="3"/>
  <c r="G907" i="3" s="1"/>
  <c r="AG907" i="3"/>
  <c r="E907" i="3"/>
  <c r="H907" i="3" s="1"/>
  <c r="K907" i="3" s="1"/>
  <c r="AE907" i="3" s="1"/>
  <c r="F907" i="3" l="1"/>
  <c r="V907" i="3"/>
  <c r="A908" i="3"/>
  <c r="B908" i="3" s="1"/>
  <c r="I907" i="3"/>
  <c r="J907" i="3"/>
  <c r="AD907" i="3" s="1"/>
  <c r="M907" i="3"/>
  <c r="N907" i="3" s="1"/>
  <c r="Z908" i="3" l="1"/>
  <c r="P908" i="3"/>
  <c r="Q908" i="3" s="1"/>
  <c r="R908" i="3" s="1"/>
  <c r="S908" i="3" s="1"/>
  <c r="AC908" i="3"/>
  <c r="AA908" i="3"/>
  <c r="L907" i="3"/>
  <c r="W907" i="3"/>
  <c r="T908" i="3" l="1"/>
  <c r="U907" i="3"/>
  <c r="Y906" i="3"/>
  <c r="D908" i="3" l="1"/>
  <c r="G908" i="3" s="1"/>
  <c r="E908" i="3"/>
  <c r="H908" i="3" s="1"/>
  <c r="K908" i="3" s="1"/>
  <c r="AE908" i="3" s="1"/>
  <c r="AG908" i="3"/>
  <c r="AH908" i="3"/>
  <c r="F908" i="3" l="1"/>
  <c r="V908" i="3"/>
  <c r="A909" i="3"/>
  <c r="B909" i="3" s="1"/>
  <c r="I908" i="3"/>
  <c r="J908" i="3"/>
  <c r="AD908" i="3" s="1"/>
  <c r="M908" i="3"/>
  <c r="N908" i="3" s="1"/>
  <c r="AC909" i="3" l="1"/>
  <c r="Z909" i="3"/>
  <c r="P909" i="3"/>
  <c r="Q909" i="3" s="1"/>
  <c r="R909" i="3" s="1"/>
  <c r="S909" i="3" s="1"/>
  <c r="AA909" i="3"/>
  <c r="L908" i="3"/>
  <c r="W908" i="3"/>
  <c r="T909" i="3" l="1"/>
  <c r="AH909" i="3" s="1"/>
  <c r="U908" i="3"/>
  <c r="Y907" i="3"/>
  <c r="E909" i="3" l="1"/>
  <c r="H909" i="3" s="1"/>
  <c r="K909" i="3" s="1"/>
  <c r="AE909" i="3" s="1"/>
  <c r="AG909" i="3"/>
  <c r="D909" i="3"/>
  <c r="F909" i="3" l="1"/>
  <c r="G909" i="3"/>
  <c r="I909" i="3" s="1"/>
  <c r="V909" i="3"/>
  <c r="A910" i="3"/>
  <c r="B910" i="3" s="1"/>
  <c r="J909" i="3" l="1"/>
  <c r="AD909" i="3" s="1"/>
  <c r="W909" i="3"/>
  <c r="M909" i="3"/>
  <c r="N909" i="3" s="1"/>
  <c r="Z910" i="3"/>
  <c r="AC910" i="3"/>
  <c r="P910" i="3"/>
  <c r="Q910" i="3" s="1"/>
  <c r="R910" i="3" s="1"/>
  <c r="S910" i="3" s="1"/>
  <c r="AA910" i="3"/>
  <c r="L909" i="3" l="1"/>
  <c r="U909" i="3" s="1"/>
  <c r="T910" i="3"/>
  <c r="Y908" i="3" l="1"/>
  <c r="AG910" i="3"/>
  <c r="D910" i="3"/>
  <c r="G910" i="3" s="1"/>
  <c r="E910" i="3"/>
  <c r="H910" i="3" s="1"/>
  <c r="K910" i="3" s="1"/>
  <c r="AE910" i="3" s="1"/>
  <c r="AH910" i="3"/>
  <c r="F910" i="3" l="1"/>
  <c r="V910" i="3"/>
  <c r="A911" i="3"/>
  <c r="B911" i="3" s="1"/>
  <c r="I910" i="3"/>
  <c r="J910" i="3"/>
  <c r="AD910" i="3" s="1"/>
  <c r="M910" i="3"/>
  <c r="N910" i="3" s="1"/>
  <c r="L910" i="3" l="1"/>
  <c r="P911" i="3"/>
  <c r="Q911" i="3" s="1"/>
  <c r="R911" i="3" s="1"/>
  <c r="S911" i="3" s="1"/>
  <c r="Z911" i="3"/>
  <c r="AA911" i="3"/>
  <c r="AC911" i="3"/>
  <c r="W910" i="3"/>
  <c r="T911" i="3" l="1"/>
  <c r="AG911" i="3" s="1"/>
  <c r="U910" i="3"/>
  <c r="Y909" i="3"/>
  <c r="AH911" i="3" l="1"/>
  <c r="D911" i="3"/>
  <c r="G911" i="3" s="1"/>
  <c r="E911" i="3"/>
  <c r="H911" i="3" s="1"/>
  <c r="K911" i="3" s="1"/>
  <c r="AE911" i="3" s="1"/>
  <c r="F911" i="3" l="1"/>
  <c r="V911" i="3"/>
  <c r="A912" i="3"/>
  <c r="B912" i="3" s="1"/>
  <c r="I911" i="3"/>
  <c r="J911" i="3"/>
  <c r="AD911" i="3" s="1"/>
  <c r="M911" i="3"/>
  <c r="N911" i="3" s="1"/>
  <c r="Z912" i="3" l="1"/>
  <c r="AA912" i="3"/>
  <c r="AC912" i="3"/>
  <c r="P912" i="3"/>
  <c r="Q912" i="3" s="1"/>
  <c r="R912" i="3" s="1"/>
  <c r="S912" i="3" s="1"/>
  <c r="L911" i="3"/>
  <c r="W911" i="3"/>
  <c r="T912" i="3" l="1"/>
  <c r="AH912" i="3" s="1"/>
  <c r="U911" i="3"/>
  <c r="Y910" i="3"/>
  <c r="AG912" i="3" l="1"/>
  <c r="D912" i="3"/>
  <c r="G912" i="3" s="1"/>
  <c r="E912" i="3"/>
  <c r="H912" i="3" s="1"/>
  <c r="K912" i="3" s="1"/>
  <c r="AE912" i="3" s="1"/>
  <c r="F912" i="3" l="1"/>
  <c r="V912" i="3"/>
  <c r="A913" i="3"/>
  <c r="B913" i="3" s="1"/>
  <c r="I912" i="3"/>
  <c r="J912" i="3"/>
  <c r="AD912" i="3" s="1"/>
  <c r="M912" i="3"/>
  <c r="N912" i="3" s="1"/>
  <c r="L912" i="3" l="1"/>
  <c r="P913" i="3"/>
  <c r="Q913" i="3" s="1"/>
  <c r="R913" i="3" s="1"/>
  <c r="S913" i="3" s="1"/>
  <c r="Z913" i="3"/>
  <c r="AA913" i="3"/>
  <c r="AC913" i="3"/>
  <c r="W912" i="3"/>
  <c r="T913" i="3" l="1"/>
  <c r="AG913" i="3" s="1"/>
  <c r="U912" i="3"/>
  <c r="Y911" i="3"/>
  <c r="E913" i="3" l="1"/>
  <c r="H913" i="3" s="1"/>
  <c r="K913" i="3" s="1"/>
  <c r="AE913" i="3" s="1"/>
  <c r="AH913" i="3"/>
  <c r="D913" i="3"/>
  <c r="F913" i="3" l="1"/>
  <c r="G913" i="3"/>
  <c r="I913" i="3" s="1"/>
  <c r="V913" i="3"/>
  <c r="A914" i="3"/>
  <c r="B914" i="3" s="1"/>
  <c r="M913" i="3" l="1"/>
  <c r="N913" i="3" s="1"/>
  <c r="J913" i="3"/>
  <c r="W913" i="3"/>
  <c r="AA914" i="3"/>
  <c r="Z914" i="3"/>
  <c r="P914" i="3"/>
  <c r="Q914" i="3" s="1"/>
  <c r="R914" i="3" s="1"/>
  <c r="S914" i="3" s="1"/>
  <c r="AC914" i="3"/>
  <c r="L913" i="3" l="1"/>
  <c r="U913" i="3" s="1"/>
  <c r="AD913" i="3"/>
  <c r="T914" i="3"/>
  <c r="Y912" i="3" l="1"/>
  <c r="AH914" i="3"/>
  <c r="AG914" i="3"/>
  <c r="D914" i="3"/>
  <c r="G914" i="3" s="1"/>
  <c r="E914" i="3"/>
  <c r="H914" i="3" s="1"/>
  <c r="K914" i="3" s="1"/>
  <c r="AE914" i="3" s="1"/>
  <c r="F914" i="3" l="1"/>
  <c r="V914" i="3"/>
  <c r="A915" i="3"/>
  <c r="B915" i="3" s="1"/>
  <c r="I914" i="3"/>
  <c r="J914" i="3"/>
  <c r="AD914" i="3" s="1"/>
  <c r="M914" i="3"/>
  <c r="N914" i="3" s="1"/>
  <c r="L914" i="3" l="1"/>
  <c r="AA915" i="3"/>
  <c r="AC915" i="3"/>
  <c r="P915" i="3"/>
  <c r="Q915" i="3" s="1"/>
  <c r="R915" i="3" s="1"/>
  <c r="S915" i="3" s="1"/>
  <c r="Z915" i="3"/>
  <c r="W914" i="3"/>
  <c r="T915" i="3" l="1"/>
  <c r="AG915" i="3" s="1"/>
  <c r="U914" i="3"/>
  <c r="Y913" i="3"/>
  <c r="E915" i="3" l="1"/>
  <c r="H915" i="3" s="1"/>
  <c r="K915" i="3" s="1"/>
  <c r="AE915" i="3" s="1"/>
  <c r="AH915" i="3"/>
  <c r="D915" i="3"/>
  <c r="F915" i="3" l="1"/>
  <c r="G915" i="3"/>
  <c r="I915" i="3" s="1"/>
  <c r="V915" i="3"/>
  <c r="A916" i="3"/>
  <c r="B916" i="3" s="1"/>
  <c r="M915" i="3" l="1"/>
  <c r="N915" i="3" s="1"/>
  <c r="J915" i="3"/>
  <c r="P916" i="3"/>
  <c r="Q916" i="3" s="1"/>
  <c r="R916" i="3" s="1"/>
  <c r="S916" i="3" s="1"/>
  <c r="AC916" i="3"/>
  <c r="AA916" i="3"/>
  <c r="Z916" i="3"/>
  <c r="W915" i="3"/>
  <c r="L915" i="3" l="1"/>
  <c r="U915" i="3" s="1"/>
  <c r="AD915" i="3"/>
  <c r="T916" i="3"/>
  <c r="Y914" i="3" l="1"/>
  <c r="D916" i="3"/>
  <c r="G916" i="3" s="1"/>
  <c r="E916" i="3"/>
  <c r="H916" i="3" s="1"/>
  <c r="K916" i="3" s="1"/>
  <c r="AE916" i="3" s="1"/>
  <c r="AG916" i="3"/>
  <c r="AH916" i="3"/>
  <c r="F916" i="3" l="1"/>
  <c r="I916" i="3"/>
  <c r="J916" i="3"/>
  <c r="AD916" i="3" s="1"/>
  <c r="M916" i="3"/>
  <c r="N916" i="3" s="1"/>
  <c r="V916" i="3"/>
  <c r="A917" i="3"/>
  <c r="B917" i="3" s="1"/>
  <c r="W916" i="3" l="1"/>
  <c r="AC917" i="3"/>
  <c r="AA917" i="3"/>
  <c r="Z917" i="3"/>
  <c r="P917" i="3"/>
  <c r="Q917" i="3" s="1"/>
  <c r="R917" i="3" s="1"/>
  <c r="S917" i="3" s="1"/>
  <c r="L916" i="3"/>
  <c r="T917" i="3" l="1"/>
  <c r="AH917" i="3" s="1"/>
  <c r="U916" i="3"/>
  <c r="Y915" i="3"/>
  <c r="AG917" i="3" l="1"/>
  <c r="D917" i="3"/>
  <c r="G917" i="3" s="1"/>
  <c r="E917" i="3"/>
  <c r="H917" i="3" s="1"/>
  <c r="K917" i="3" s="1"/>
  <c r="AE917" i="3" s="1"/>
  <c r="F917" i="3" l="1"/>
  <c r="I917" i="3"/>
  <c r="J917" i="3"/>
  <c r="AD917" i="3" s="1"/>
  <c r="M917" i="3"/>
  <c r="N917" i="3" s="1"/>
  <c r="V917" i="3"/>
  <c r="W917" i="3" s="1"/>
  <c r="A918" i="3"/>
  <c r="B918" i="3" s="1"/>
  <c r="AA918" i="3" l="1"/>
  <c r="AC918" i="3"/>
  <c r="P918" i="3"/>
  <c r="Q918" i="3" s="1"/>
  <c r="R918" i="3" s="1"/>
  <c r="S918" i="3" s="1"/>
  <c r="Z918" i="3"/>
  <c r="L917" i="3"/>
  <c r="T918" i="3" l="1"/>
  <c r="AG918" i="3" s="1"/>
  <c r="U917" i="3"/>
  <c r="Y916" i="3"/>
  <c r="E918" i="3" l="1"/>
  <c r="H918" i="3" s="1"/>
  <c r="K918" i="3" s="1"/>
  <c r="AE918" i="3" s="1"/>
  <c r="AH918" i="3"/>
  <c r="D918" i="3"/>
  <c r="F918" i="3" l="1"/>
  <c r="G918" i="3"/>
  <c r="I918" i="3" s="1"/>
  <c r="V918" i="3"/>
  <c r="A919" i="3"/>
  <c r="B919" i="3" s="1"/>
  <c r="M918" i="3" l="1"/>
  <c r="N918" i="3" s="1"/>
  <c r="J918" i="3"/>
  <c r="AA919" i="3"/>
  <c r="AC919" i="3"/>
  <c r="P919" i="3"/>
  <c r="Q919" i="3" s="1"/>
  <c r="R919" i="3" s="1"/>
  <c r="S919" i="3" s="1"/>
  <c r="Z919" i="3"/>
  <c r="W918" i="3"/>
  <c r="L918" i="3" l="1"/>
  <c r="U918" i="3" s="1"/>
  <c r="AD918" i="3"/>
  <c r="T919" i="3"/>
  <c r="Y917" i="3" l="1"/>
  <c r="AG919" i="3"/>
  <c r="AH919" i="3"/>
  <c r="E919" i="3"/>
  <c r="H919" i="3" s="1"/>
  <c r="K919" i="3" s="1"/>
  <c r="AE919" i="3" s="1"/>
  <c r="D919" i="3"/>
  <c r="G919" i="3" s="1"/>
  <c r="F919" i="3" l="1"/>
  <c r="I919" i="3"/>
  <c r="J919" i="3"/>
  <c r="AD919" i="3" s="1"/>
  <c r="M919" i="3"/>
  <c r="N919" i="3" s="1"/>
  <c r="V919" i="3"/>
  <c r="A920" i="3"/>
  <c r="B920" i="3" s="1"/>
  <c r="W919" i="3" l="1"/>
  <c r="AA920" i="3"/>
  <c r="P920" i="3"/>
  <c r="Q920" i="3" s="1"/>
  <c r="R920" i="3" s="1"/>
  <c r="S920" i="3" s="1"/>
  <c r="Z920" i="3"/>
  <c r="AC920" i="3"/>
  <c r="L919" i="3"/>
  <c r="T920" i="3" l="1"/>
  <c r="AH920" i="3" s="1"/>
  <c r="U919" i="3"/>
  <c r="Y918" i="3"/>
  <c r="AG920" i="3" l="1"/>
  <c r="E920" i="3"/>
  <c r="H920" i="3" s="1"/>
  <c r="K920" i="3" s="1"/>
  <c r="AE920" i="3" s="1"/>
  <c r="D920" i="3"/>
  <c r="F920" i="3" l="1"/>
  <c r="G920" i="3"/>
  <c r="V920" i="3"/>
  <c r="A921" i="3"/>
  <c r="B921" i="3" s="1"/>
  <c r="P921" i="3" l="1"/>
  <c r="Q921" i="3" s="1"/>
  <c r="R921" i="3" s="1"/>
  <c r="S921" i="3" s="1"/>
  <c r="AA921" i="3"/>
  <c r="AC921" i="3"/>
  <c r="Z921" i="3"/>
  <c r="I920" i="3"/>
  <c r="W920" i="3" s="1"/>
  <c r="J920" i="3"/>
  <c r="AD920" i="3" s="1"/>
  <c r="M920" i="3"/>
  <c r="N920" i="3" s="1"/>
  <c r="L920" i="3" l="1"/>
  <c r="T921" i="3"/>
  <c r="AH921" i="3" l="1"/>
  <c r="U920" i="3"/>
  <c r="E921" i="3" s="1"/>
  <c r="H921" i="3" s="1"/>
  <c r="AG921" i="3"/>
  <c r="Y919" i="3"/>
  <c r="D921" i="3" l="1"/>
  <c r="F921" i="3" s="1"/>
  <c r="K921" i="3"/>
  <c r="AE921" i="3" s="1"/>
  <c r="G921" i="3" l="1"/>
  <c r="I921" i="3" s="1"/>
  <c r="V921" i="3"/>
  <c r="A922" i="3"/>
  <c r="B922" i="3" s="1"/>
  <c r="M921" i="3" l="1"/>
  <c r="N921" i="3" s="1"/>
  <c r="J921" i="3"/>
  <c r="W921" i="3"/>
  <c r="P922" i="3"/>
  <c r="Q922" i="3" s="1"/>
  <c r="R922" i="3" s="1"/>
  <c r="S922" i="3" s="1"/>
  <c r="AA922" i="3"/>
  <c r="Z922" i="3"/>
  <c r="AC922" i="3"/>
  <c r="L921" i="3" l="1"/>
  <c r="U921" i="3" s="1"/>
  <c r="AD921" i="3"/>
  <c r="T922" i="3"/>
  <c r="Y920" i="3" l="1"/>
  <c r="E922" i="3"/>
  <c r="H922" i="3" s="1"/>
  <c r="K922" i="3" s="1"/>
  <c r="AE922" i="3" s="1"/>
  <c r="AG922" i="3"/>
  <c r="AH922" i="3"/>
  <c r="D922" i="3"/>
  <c r="F922" i="3" l="1"/>
  <c r="G922" i="3"/>
  <c r="V922" i="3"/>
  <c r="A923" i="3"/>
  <c r="B923" i="3" s="1"/>
  <c r="P923" i="3" l="1"/>
  <c r="Q923" i="3" s="1"/>
  <c r="R923" i="3" s="1"/>
  <c r="S923" i="3" s="1"/>
  <c r="AA923" i="3"/>
  <c r="Z923" i="3"/>
  <c r="AC923" i="3"/>
  <c r="I922" i="3"/>
  <c r="W922" i="3" s="1"/>
  <c r="J922" i="3"/>
  <c r="AD922" i="3" s="1"/>
  <c r="M922" i="3"/>
  <c r="N922" i="3" s="1"/>
  <c r="L922" i="3" l="1"/>
  <c r="T923" i="3"/>
  <c r="U922" i="3" l="1"/>
  <c r="D923" i="3" s="1"/>
  <c r="AH923" i="3"/>
  <c r="AG923" i="3"/>
  <c r="Y921" i="3"/>
  <c r="E923" i="3" l="1"/>
  <c r="H923" i="3" s="1"/>
  <c r="K923" i="3" s="1"/>
  <c r="AE923" i="3" s="1"/>
  <c r="G923" i="3"/>
  <c r="F923" i="3" l="1"/>
  <c r="V923" i="3"/>
  <c r="A924" i="3"/>
  <c r="B924" i="3" s="1"/>
  <c r="I923" i="3"/>
  <c r="J923" i="3"/>
  <c r="AD923" i="3" s="1"/>
  <c r="M923" i="3"/>
  <c r="N923" i="3" s="1"/>
  <c r="W923" i="3" l="1"/>
  <c r="L923" i="3"/>
  <c r="AC924" i="3"/>
  <c r="P924" i="3"/>
  <c r="Q924" i="3" s="1"/>
  <c r="R924" i="3" s="1"/>
  <c r="S924" i="3" s="1"/>
  <c r="AA924" i="3"/>
  <c r="Z924" i="3"/>
  <c r="T924" i="3" l="1"/>
  <c r="U923" i="3"/>
  <c r="Y922" i="3"/>
  <c r="E924" i="3" l="1"/>
  <c r="H924" i="3" s="1"/>
  <c r="K924" i="3" s="1"/>
  <c r="AE924" i="3" s="1"/>
  <c r="AG924" i="3"/>
  <c r="D924" i="3"/>
  <c r="AH924" i="3"/>
  <c r="F924" i="3" l="1"/>
  <c r="G924" i="3"/>
  <c r="J924" i="3" s="1"/>
  <c r="AD924" i="3" s="1"/>
  <c r="V924" i="3"/>
  <c r="A925" i="3"/>
  <c r="B925" i="3" s="1"/>
  <c r="M924" i="3" l="1"/>
  <c r="N924" i="3" s="1"/>
  <c r="I924" i="3"/>
  <c r="W924" i="3" s="1"/>
  <c r="Z925" i="3"/>
  <c r="AC925" i="3"/>
  <c r="P925" i="3"/>
  <c r="Q925" i="3" s="1"/>
  <c r="R925" i="3" s="1"/>
  <c r="S925" i="3" s="1"/>
  <c r="AA925" i="3"/>
  <c r="L924" i="3"/>
  <c r="T925" i="3" l="1"/>
  <c r="AG925" i="3" s="1"/>
  <c r="U924" i="3"/>
  <c r="Y923" i="3"/>
  <c r="E925" i="3" l="1"/>
  <c r="H925" i="3" s="1"/>
  <c r="K925" i="3" s="1"/>
  <c r="AE925" i="3" s="1"/>
  <c r="AH925" i="3"/>
  <c r="D925" i="3"/>
  <c r="F925" i="3" l="1"/>
  <c r="G925" i="3"/>
  <c r="I925" i="3" s="1"/>
  <c r="V925" i="3"/>
  <c r="A926" i="3"/>
  <c r="B926" i="3" s="1"/>
  <c r="W925" i="3" l="1"/>
  <c r="J925" i="3"/>
  <c r="M925" i="3"/>
  <c r="N925" i="3" s="1"/>
  <c r="P926" i="3"/>
  <c r="Q926" i="3" s="1"/>
  <c r="R926" i="3" s="1"/>
  <c r="S926" i="3" s="1"/>
  <c r="AC926" i="3"/>
  <c r="Z926" i="3"/>
  <c r="AA926" i="3"/>
  <c r="L925" i="3" l="1"/>
  <c r="U925" i="3" s="1"/>
  <c r="AD925" i="3"/>
  <c r="T926" i="3"/>
  <c r="Y924" i="3" l="1"/>
  <c r="AH926" i="3"/>
  <c r="E926" i="3"/>
  <c r="H926" i="3" s="1"/>
  <c r="K926" i="3" s="1"/>
  <c r="AE926" i="3" s="1"/>
  <c r="AG926" i="3"/>
  <c r="D926" i="3"/>
  <c r="G926" i="3" s="1"/>
  <c r="F926" i="3" l="1"/>
  <c r="I926" i="3"/>
  <c r="J926" i="3"/>
  <c r="AD926" i="3" s="1"/>
  <c r="M926" i="3"/>
  <c r="N926" i="3" s="1"/>
  <c r="V926" i="3"/>
  <c r="A927" i="3"/>
  <c r="B927" i="3" s="1"/>
  <c r="W926" i="3" l="1"/>
  <c r="AA927" i="3"/>
  <c r="AC927" i="3"/>
  <c r="Z927" i="3"/>
  <c r="P927" i="3"/>
  <c r="Q927" i="3" s="1"/>
  <c r="R927" i="3" s="1"/>
  <c r="S927" i="3" s="1"/>
  <c r="L926" i="3"/>
  <c r="T927" i="3" l="1"/>
  <c r="AG927" i="3" s="1"/>
  <c r="U926" i="3"/>
  <c r="Y925" i="3"/>
  <c r="E927" i="3" l="1"/>
  <c r="H927" i="3" s="1"/>
  <c r="K927" i="3" s="1"/>
  <c r="AE927" i="3" s="1"/>
  <c r="AH927" i="3"/>
  <c r="D927" i="3"/>
  <c r="F927" i="3" l="1"/>
  <c r="G927" i="3"/>
  <c r="J927" i="3" s="1"/>
  <c r="AD927" i="3" s="1"/>
  <c r="V927" i="3"/>
  <c r="A928" i="3"/>
  <c r="B928" i="3" s="1"/>
  <c r="M927" i="3" l="1"/>
  <c r="N927" i="3" s="1"/>
  <c r="I927" i="3"/>
  <c r="W927" i="3" s="1"/>
  <c r="L927" i="3"/>
  <c r="AC928" i="3"/>
  <c r="P928" i="3"/>
  <c r="Q928" i="3" s="1"/>
  <c r="R928" i="3" s="1"/>
  <c r="S928" i="3" s="1"/>
  <c r="AA928" i="3"/>
  <c r="Z928" i="3"/>
  <c r="T928" i="3" l="1"/>
  <c r="AH928" i="3" s="1"/>
  <c r="U927" i="3"/>
  <c r="Y926" i="3"/>
  <c r="E928" i="3" l="1"/>
  <c r="H928" i="3" s="1"/>
  <c r="K928" i="3" s="1"/>
  <c r="AE928" i="3" s="1"/>
  <c r="AG928" i="3"/>
  <c r="D928" i="3"/>
  <c r="F928" i="3" l="1"/>
  <c r="G928" i="3"/>
  <c r="J928" i="3" s="1"/>
  <c r="AD928" i="3" s="1"/>
  <c r="V928" i="3"/>
  <c r="A929" i="3"/>
  <c r="B929" i="3" s="1"/>
  <c r="M928" i="3" l="1"/>
  <c r="N928" i="3" s="1"/>
  <c r="I928" i="3"/>
  <c r="W928" i="3" s="1"/>
  <c r="AC929" i="3"/>
  <c r="Z929" i="3"/>
  <c r="P929" i="3"/>
  <c r="Q929" i="3" s="1"/>
  <c r="R929" i="3" s="1"/>
  <c r="S929" i="3" s="1"/>
  <c r="AA929" i="3"/>
  <c r="L928" i="3"/>
  <c r="T929" i="3" l="1"/>
  <c r="AH929" i="3" s="1"/>
  <c r="U928" i="3"/>
  <c r="Y927" i="3"/>
  <c r="E929" i="3" l="1"/>
  <c r="H929" i="3" s="1"/>
  <c r="K929" i="3" s="1"/>
  <c r="AE929" i="3" s="1"/>
  <c r="D929" i="3"/>
  <c r="AG929" i="3"/>
  <c r="F929" i="3" l="1"/>
  <c r="G929" i="3"/>
  <c r="I929" i="3" s="1"/>
  <c r="V929" i="3"/>
  <c r="A930" i="3"/>
  <c r="B930" i="3" s="1"/>
  <c r="M929" i="3" l="1"/>
  <c r="N929" i="3" s="1"/>
  <c r="J929" i="3"/>
  <c r="W929" i="3"/>
  <c r="AA930" i="3"/>
  <c r="P930" i="3"/>
  <c r="Q930" i="3" s="1"/>
  <c r="R930" i="3" s="1"/>
  <c r="S930" i="3" s="1"/>
  <c r="Z930" i="3"/>
  <c r="AC930" i="3"/>
  <c r="L929" i="3" l="1"/>
  <c r="U929" i="3" s="1"/>
  <c r="AD929" i="3"/>
  <c r="T930" i="3"/>
  <c r="AH930" i="3" l="1"/>
  <c r="Y928" i="3"/>
  <c r="AG930" i="3"/>
  <c r="D930" i="3"/>
  <c r="E930" i="3"/>
  <c r="H930" i="3" s="1"/>
  <c r="K930" i="3" s="1"/>
  <c r="AE930" i="3" s="1"/>
  <c r="F930" i="3" l="1"/>
  <c r="G930" i="3"/>
  <c r="M930" i="3" s="1"/>
  <c r="N930" i="3" s="1"/>
  <c r="V930" i="3"/>
  <c r="A931" i="3"/>
  <c r="B931" i="3" s="1"/>
  <c r="J930" i="3" l="1"/>
  <c r="AD930" i="3" s="1"/>
  <c r="I930" i="3"/>
  <c r="W930" i="3" s="1"/>
  <c r="AC931" i="3"/>
  <c r="AA931" i="3"/>
  <c r="Z931" i="3"/>
  <c r="P931" i="3"/>
  <c r="Q931" i="3" s="1"/>
  <c r="R931" i="3" s="1"/>
  <c r="S931" i="3" s="1"/>
  <c r="L930" i="3" l="1"/>
  <c r="U930" i="3" s="1"/>
  <c r="T931" i="3"/>
  <c r="Y929" i="3" l="1"/>
  <c r="AH931" i="3"/>
  <c r="AG931" i="3"/>
  <c r="E931" i="3"/>
  <c r="H931" i="3" s="1"/>
  <c r="K931" i="3" s="1"/>
  <c r="AE931" i="3" s="1"/>
  <c r="D931" i="3"/>
  <c r="F931" i="3" l="1"/>
  <c r="G931" i="3"/>
  <c r="I931" i="3" s="1"/>
  <c r="V931" i="3"/>
  <c r="A932" i="3"/>
  <c r="B932" i="3" s="1"/>
  <c r="M931" i="3" l="1"/>
  <c r="N931" i="3" s="1"/>
  <c r="J931" i="3"/>
  <c r="AC932" i="3"/>
  <c r="P932" i="3"/>
  <c r="Q932" i="3" s="1"/>
  <c r="R932" i="3" s="1"/>
  <c r="S932" i="3" s="1"/>
  <c r="AA932" i="3"/>
  <c r="Z932" i="3"/>
  <c r="W931" i="3"/>
  <c r="L931" i="3" l="1"/>
  <c r="U931" i="3" s="1"/>
  <c r="AD931" i="3"/>
  <c r="T932" i="3"/>
  <c r="Y930" i="3" l="1"/>
  <c r="AG932" i="3"/>
  <c r="AH932" i="3"/>
  <c r="E932" i="3"/>
  <c r="H932" i="3" s="1"/>
  <c r="K932" i="3" s="1"/>
  <c r="AE932" i="3" s="1"/>
  <c r="D932" i="3"/>
  <c r="F932" i="3" l="1"/>
  <c r="G932" i="3"/>
  <c r="I932" i="3" s="1"/>
  <c r="V932" i="3"/>
  <c r="A933" i="3"/>
  <c r="B933" i="3" s="1"/>
  <c r="M932" i="3" l="1"/>
  <c r="N932" i="3" s="1"/>
  <c r="J932" i="3"/>
  <c r="W932" i="3"/>
  <c r="P933" i="3"/>
  <c r="Q933" i="3" s="1"/>
  <c r="R933" i="3" s="1"/>
  <c r="S933" i="3" s="1"/>
  <c r="AC933" i="3"/>
  <c r="AA933" i="3"/>
  <c r="Z933" i="3"/>
  <c r="L932" i="3" l="1"/>
  <c r="U932" i="3" s="1"/>
  <c r="AD932" i="3"/>
  <c r="T933" i="3"/>
  <c r="AG933" i="3" l="1"/>
  <c r="Y931" i="3"/>
  <c r="D933" i="3"/>
  <c r="G933" i="3" s="1"/>
  <c r="AH933" i="3"/>
  <c r="E933" i="3"/>
  <c r="H933" i="3" s="1"/>
  <c r="K933" i="3" s="1"/>
  <c r="AE933" i="3" s="1"/>
  <c r="F933" i="3" l="1"/>
  <c r="I933" i="3"/>
  <c r="J933" i="3"/>
  <c r="AD933" i="3" s="1"/>
  <c r="M933" i="3"/>
  <c r="N933" i="3" s="1"/>
  <c r="V933" i="3"/>
  <c r="A934" i="3"/>
  <c r="B934" i="3" s="1"/>
  <c r="W933" i="3" l="1"/>
  <c r="Z934" i="3"/>
  <c r="AA934" i="3"/>
  <c r="P934" i="3"/>
  <c r="Q934" i="3" s="1"/>
  <c r="R934" i="3" s="1"/>
  <c r="S934" i="3" s="1"/>
  <c r="AC934" i="3"/>
  <c r="L933" i="3"/>
  <c r="T934" i="3" l="1"/>
  <c r="AH934" i="3" s="1"/>
  <c r="U933" i="3"/>
  <c r="Y932" i="3"/>
  <c r="AG934" i="3" l="1"/>
  <c r="D934" i="3"/>
  <c r="E934" i="3"/>
  <c r="H934" i="3" s="1"/>
  <c r="K934" i="3" s="1"/>
  <c r="AE934" i="3" s="1"/>
  <c r="F934" i="3" l="1"/>
  <c r="G934" i="3"/>
  <c r="I934" i="3" s="1"/>
  <c r="V934" i="3"/>
  <c r="A935" i="3"/>
  <c r="B935" i="3" s="1"/>
  <c r="M934" i="3" l="1"/>
  <c r="N934" i="3" s="1"/>
  <c r="J934" i="3"/>
  <c r="AC935" i="3"/>
  <c r="P935" i="3"/>
  <c r="Q935" i="3" s="1"/>
  <c r="R935" i="3" s="1"/>
  <c r="S935" i="3" s="1"/>
  <c r="AA935" i="3"/>
  <c r="Z935" i="3"/>
  <c r="W934" i="3"/>
  <c r="L934" i="3" l="1"/>
  <c r="U934" i="3" s="1"/>
  <c r="AD934" i="3"/>
  <c r="T935" i="3"/>
  <c r="Y933" i="3" l="1"/>
  <c r="AG935" i="3"/>
  <c r="D935" i="3"/>
  <c r="G935" i="3" s="1"/>
  <c r="AH935" i="3"/>
  <c r="E935" i="3"/>
  <c r="H935" i="3" s="1"/>
  <c r="K935" i="3" s="1"/>
  <c r="AE935" i="3" s="1"/>
  <c r="F935" i="3" l="1"/>
  <c r="I935" i="3"/>
  <c r="J935" i="3"/>
  <c r="AD935" i="3" s="1"/>
  <c r="M935" i="3"/>
  <c r="N935" i="3" s="1"/>
  <c r="V935" i="3"/>
  <c r="A936" i="3"/>
  <c r="B936" i="3" s="1"/>
  <c r="W935" i="3" l="1"/>
  <c r="AA936" i="3"/>
  <c r="AC936" i="3"/>
  <c r="Z936" i="3"/>
  <c r="P936" i="3"/>
  <c r="Q936" i="3" s="1"/>
  <c r="R936" i="3" s="1"/>
  <c r="S936" i="3" s="1"/>
  <c r="L935" i="3"/>
  <c r="T936" i="3" l="1"/>
  <c r="AH936" i="3" s="1"/>
  <c r="U935" i="3"/>
  <c r="Y934" i="3"/>
  <c r="AG936" i="3" l="1"/>
  <c r="E936" i="3"/>
  <c r="H936" i="3" s="1"/>
  <c r="K936" i="3" s="1"/>
  <c r="AE936" i="3" s="1"/>
  <c r="D936" i="3"/>
  <c r="F936" i="3" l="1"/>
  <c r="G936" i="3"/>
  <c r="I936" i="3" s="1"/>
  <c r="V936" i="3"/>
  <c r="A937" i="3"/>
  <c r="B937" i="3" s="1"/>
  <c r="J936" i="3" l="1"/>
  <c r="M936" i="3"/>
  <c r="N936" i="3" s="1"/>
  <c r="W936" i="3"/>
  <c r="AC937" i="3"/>
  <c r="P937" i="3"/>
  <c r="Q937" i="3" s="1"/>
  <c r="R937" i="3" s="1"/>
  <c r="S937" i="3" s="1"/>
  <c r="AA937" i="3"/>
  <c r="Z937" i="3"/>
  <c r="L936" i="3" l="1"/>
  <c r="U936" i="3" s="1"/>
  <c r="AD936" i="3"/>
  <c r="T937" i="3"/>
  <c r="Y935" i="3" l="1"/>
  <c r="AH937" i="3"/>
  <c r="AG937" i="3"/>
  <c r="D937" i="3"/>
  <c r="G937" i="3" s="1"/>
  <c r="E937" i="3"/>
  <c r="H937" i="3" s="1"/>
  <c r="K937" i="3" l="1"/>
  <c r="AE937" i="3" s="1"/>
  <c r="I937" i="3"/>
  <c r="J937" i="3"/>
  <c r="AD937" i="3" s="1"/>
  <c r="M937" i="3"/>
  <c r="N937" i="3" s="1"/>
  <c r="F937" i="3"/>
  <c r="L937" i="3" l="1"/>
  <c r="V937" i="3"/>
  <c r="W937" i="3" s="1"/>
  <c r="A938" i="3"/>
  <c r="B938" i="3" s="1"/>
  <c r="AA938" i="3" l="1"/>
  <c r="AC938" i="3"/>
  <c r="Z938" i="3"/>
  <c r="P938" i="3"/>
  <c r="Q938" i="3" s="1"/>
  <c r="R938" i="3" s="1"/>
  <c r="S938" i="3" s="1"/>
  <c r="U937" i="3"/>
  <c r="Y936" i="3"/>
  <c r="T938" i="3" l="1"/>
  <c r="D938" i="3" s="1"/>
  <c r="E938" i="3" l="1"/>
  <c r="H938" i="3" s="1"/>
  <c r="K938" i="3" s="1"/>
  <c r="AE938" i="3" s="1"/>
  <c r="AH938" i="3"/>
  <c r="AG938" i="3"/>
  <c r="G938" i="3"/>
  <c r="F938" i="3" l="1"/>
  <c r="V938" i="3"/>
  <c r="A939" i="3"/>
  <c r="B939" i="3" s="1"/>
  <c r="I938" i="3"/>
  <c r="J938" i="3"/>
  <c r="AD938" i="3" s="1"/>
  <c r="M938" i="3"/>
  <c r="N938" i="3" s="1"/>
  <c r="L938" i="3" l="1"/>
  <c r="P939" i="3"/>
  <c r="Q939" i="3" s="1"/>
  <c r="R939" i="3" s="1"/>
  <c r="S939" i="3" s="1"/>
  <c r="AC939" i="3"/>
  <c r="AA939" i="3"/>
  <c r="Z939" i="3"/>
  <c r="W938" i="3"/>
  <c r="T939" i="3" l="1"/>
  <c r="U938" i="3"/>
  <c r="Y937" i="3"/>
  <c r="D939" i="3" l="1"/>
  <c r="G939" i="3" s="1"/>
  <c r="AG939" i="3"/>
  <c r="AH939" i="3"/>
  <c r="E939" i="3"/>
  <c r="H939" i="3" s="1"/>
  <c r="K939" i="3" s="1"/>
  <c r="AE939" i="3" s="1"/>
  <c r="F939" i="3" l="1"/>
  <c r="V939" i="3"/>
  <c r="A940" i="3"/>
  <c r="B940" i="3" s="1"/>
  <c r="I939" i="3"/>
  <c r="J939" i="3"/>
  <c r="AD939" i="3" s="1"/>
  <c r="M939" i="3"/>
  <c r="N939" i="3" s="1"/>
  <c r="Z940" i="3" l="1"/>
  <c r="P940" i="3"/>
  <c r="Q940" i="3" s="1"/>
  <c r="R940" i="3" s="1"/>
  <c r="S940" i="3" s="1"/>
  <c r="AA940" i="3"/>
  <c r="AC940" i="3"/>
  <c r="L939" i="3"/>
  <c r="W939" i="3"/>
  <c r="T940" i="3" l="1"/>
  <c r="AH940" i="3" s="1"/>
  <c r="U939" i="3"/>
  <c r="Y938" i="3"/>
  <c r="D940" i="3" l="1"/>
  <c r="G940" i="3" s="1"/>
  <c r="E940" i="3"/>
  <c r="H940" i="3" s="1"/>
  <c r="K940" i="3" s="1"/>
  <c r="AE940" i="3" s="1"/>
  <c r="AG940" i="3"/>
  <c r="F940" i="3" l="1"/>
  <c r="V940" i="3"/>
  <c r="A941" i="3"/>
  <c r="B941" i="3" s="1"/>
  <c r="I940" i="3"/>
  <c r="J940" i="3"/>
  <c r="AD940" i="3" s="1"/>
  <c r="M940" i="3"/>
  <c r="N940" i="3" s="1"/>
  <c r="AC941" i="3" l="1"/>
  <c r="P941" i="3"/>
  <c r="Q941" i="3" s="1"/>
  <c r="R941" i="3" s="1"/>
  <c r="S941" i="3" s="1"/>
  <c r="AA941" i="3"/>
  <c r="Z941" i="3"/>
  <c r="L940" i="3"/>
  <c r="W940" i="3"/>
  <c r="T941" i="3" l="1"/>
  <c r="AH941" i="3" s="1"/>
  <c r="U940" i="3"/>
  <c r="Y939" i="3"/>
  <c r="AG941" i="3" l="1"/>
  <c r="D941" i="3"/>
  <c r="G941" i="3" s="1"/>
  <c r="E941" i="3"/>
  <c r="H941" i="3" s="1"/>
  <c r="K941" i="3" s="1"/>
  <c r="AE941" i="3" s="1"/>
  <c r="F941" i="3" l="1"/>
  <c r="V941" i="3"/>
  <c r="A942" i="3"/>
  <c r="B942" i="3" s="1"/>
  <c r="I941" i="3"/>
  <c r="J941" i="3"/>
  <c r="AD941" i="3" s="1"/>
  <c r="M941" i="3"/>
  <c r="N941" i="3" s="1"/>
  <c r="L941" i="3" l="1"/>
  <c r="AA942" i="3"/>
  <c r="Z942" i="3"/>
  <c r="AC942" i="3"/>
  <c r="P942" i="3"/>
  <c r="Q942" i="3" s="1"/>
  <c r="R942" i="3" s="1"/>
  <c r="S942" i="3" s="1"/>
  <c r="W941" i="3"/>
  <c r="T942" i="3" l="1"/>
  <c r="AG942" i="3" s="1"/>
  <c r="U941" i="3"/>
  <c r="Y940" i="3"/>
  <c r="AH942" i="3" l="1"/>
  <c r="E942" i="3"/>
  <c r="H942" i="3" s="1"/>
  <c r="K942" i="3" s="1"/>
  <c r="AE942" i="3" s="1"/>
  <c r="D942" i="3"/>
  <c r="F942" i="3" l="1"/>
  <c r="G942" i="3"/>
  <c r="I942" i="3" s="1"/>
  <c r="V942" i="3"/>
  <c r="A943" i="3"/>
  <c r="B943" i="3" s="1"/>
  <c r="J942" i="3" l="1"/>
  <c r="M942" i="3"/>
  <c r="N942" i="3" s="1"/>
  <c r="AC943" i="3"/>
  <c r="P943" i="3"/>
  <c r="Q943" i="3" s="1"/>
  <c r="R943" i="3" s="1"/>
  <c r="S943" i="3" s="1"/>
  <c r="Z943" i="3"/>
  <c r="AA943" i="3"/>
  <c r="W942" i="3"/>
  <c r="L942" i="3" l="1"/>
  <c r="U942" i="3" s="1"/>
  <c r="AD942" i="3"/>
  <c r="T943" i="3"/>
  <c r="Y941" i="3" l="1"/>
  <c r="E943" i="3"/>
  <c r="H943" i="3" s="1"/>
  <c r="K943" i="3" s="1"/>
  <c r="AE943" i="3" s="1"/>
  <c r="AG943" i="3"/>
  <c r="D943" i="3"/>
  <c r="AH943" i="3"/>
  <c r="F943" i="3" l="1"/>
  <c r="G943" i="3"/>
  <c r="I943" i="3" s="1"/>
  <c r="V943" i="3"/>
  <c r="A944" i="3"/>
  <c r="B944" i="3" s="1"/>
  <c r="M943" i="3" l="1"/>
  <c r="N943" i="3" s="1"/>
  <c r="J943" i="3"/>
  <c r="Z944" i="3"/>
  <c r="P944" i="3"/>
  <c r="Q944" i="3" s="1"/>
  <c r="R944" i="3" s="1"/>
  <c r="S944" i="3" s="1"/>
  <c r="AC944" i="3"/>
  <c r="AA944" i="3"/>
  <c r="W943" i="3"/>
  <c r="L943" i="3" l="1"/>
  <c r="U943" i="3" s="1"/>
  <c r="AD943" i="3"/>
  <c r="T944" i="3"/>
  <c r="Y942" i="3" l="1"/>
  <c r="AH944" i="3"/>
  <c r="AG944" i="3"/>
  <c r="D944" i="3"/>
  <c r="G944" i="3" s="1"/>
  <c r="E944" i="3"/>
  <c r="H944" i="3" s="1"/>
  <c r="K944" i="3" s="1"/>
  <c r="AE944" i="3" s="1"/>
  <c r="F944" i="3" l="1"/>
  <c r="V944" i="3"/>
  <c r="A945" i="3"/>
  <c r="B945" i="3" s="1"/>
  <c r="I944" i="3"/>
  <c r="J944" i="3"/>
  <c r="AD944" i="3" s="1"/>
  <c r="M944" i="3"/>
  <c r="N944" i="3" s="1"/>
  <c r="Z945" i="3" l="1"/>
  <c r="AC945" i="3"/>
  <c r="P945" i="3"/>
  <c r="Q945" i="3" s="1"/>
  <c r="R945" i="3" s="1"/>
  <c r="S945" i="3" s="1"/>
  <c r="AA945" i="3"/>
  <c r="L944" i="3"/>
  <c r="W944" i="3"/>
  <c r="T945" i="3" l="1"/>
  <c r="U944" i="3"/>
  <c r="Y943" i="3"/>
  <c r="D945" i="3" l="1"/>
  <c r="G945" i="3" s="1"/>
  <c r="E945" i="3"/>
  <c r="H945" i="3" s="1"/>
  <c r="K945" i="3" s="1"/>
  <c r="AE945" i="3" s="1"/>
  <c r="AH945" i="3"/>
  <c r="AG945" i="3"/>
  <c r="F945" i="3" l="1"/>
  <c r="I945" i="3"/>
  <c r="J945" i="3"/>
  <c r="AD945" i="3" s="1"/>
  <c r="M945" i="3"/>
  <c r="N945" i="3" s="1"/>
  <c r="V945" i="3"/>
  <c r="A946" i="3"/>
  <c r="B946" i="3" s="1"/>
  <c r="W945" i="3" l="1"/>
  <c r="Z946" i="3"/>
  <c r="AC946" i="3"/>
  <c r="AA946" i="3"/>
  <c r="P946" i="3"/>
  <c r="Q946" i="3" s="1"/>
  <c r="R946" i="3" s="1"/>
  <c r="S946" i="3" s="1"/>
  <c r="L945" i="3"/>
  <c r="T946" i="3" l="1"/>
  <c r="AH946" i="3" s="1"/>
  <c r="U945" i="3"/>
  <c r="Y944" i="3"/>
  <c r="D946" i="3" l="1"/>
  <c r="G946" i="3" s="1"/>
  <c r="AG946" i="3"/>
  <c r="E946" i="3"/>
  <c r="H946" i="3" s="1"/>
  <c r="K946" i="3" s="1"/>
  <c r="AE946" i="3" s="1"/>
  <c r="F946" i="3" l="1"/>
  <c r="I946" i="3"/>
  <c r="J946" i="3"/>
  <c r="AD946" i="3" s="1"/>
  <c r="M946" i="3"/>
  <c r="N946" i="3" s="1"/>
  <c r="V946" i="3"/>
  <c r="A947" i="3"/>
  <c r="B947" i="3" s="1"/>
  <c r="W946" i="3" l="1"/>
  <c r="Z947" i="3"/>
  <c r="P947" i="3"/>
  <c r="Q947" i="3" s="1"/>
  <c r="R947" i="3" s="1"/>
  <c r="S947" i="3" s="1"/>
  <c r="AC947" i="3"/>
  <c r="AA947" i="3"/>
  <c r="L946" i="3"/>
  <c r="T947" i="3" l="1"/>
  <c r="AG947" i="3" s="1"/>
  <c r="U946" i="3"/>
  <c r="Y945" i="3"/>
  <c r="AH947" i="3" l="1"/>
  <c r="E947" i="3"/>
  <c r="H947" i="3" s="1"/>
  <c r="K947" i="3" s="1"/>
  <c r="AE947" i="3" s="1"/>
  <c r="D947" i="3"/>
  <c r="F947" i="3" l="1"/>
  <c r="G947" i="3"/>
  <c r="I947" i="3" s="1"/>
  <c r="V947" i="3"/>
  <c r="A948" i="3"/>
  <c r="B948" i="3" s="1"/>
  <c r="M947" i="3" l="1"/>
  <c r="N947" i="3" s="1"/>
  <c r="J947" i="3"/>
  <c r="AA948" i="3"/>
  <c r="Z948" i="3"/>
  <c r="AC948" i="3"/>
  <c r="P948" i="3"/>
  <c r="Q948" i="3" s="1"/>
  <c r="R948" i="3" s="1"/>
  <c r="S948" i="3" s="1"/>
  <c r="W947" i="3"/>
  <c r="L947" i="3" l="1"/>
  <c r="U947" i="3" s="1"/>
  <c r="AD947" i="3"/>
  <c r="T948" i="3"/>
  <c r="Y946" i="3" l="1"/>
  <c r="AH948" i="3"/>
  <c r="AG948" i="3"/>
  <c r="D948" i="3"/>
  <c r="G948" i="3" s="1"/>
  <c r="E948" i="3"/>
  <c r="H948" i="3" s="1"/>
  <c r="K948" i="3" s="1"/>
  <c r="AE948" i="3" s="1"/>
  <c r="F948" i="3" l="1"/>
  <c r="V948" i="3"/>
  <c r="A949" i="3"/>
  <c r="B949" i="3" s="1"/>
  <c r="I948" i="3"/>
  <c r="J948" i="3"/>
  <c r="AD948" i="3" s="1"/>
  <c r="M948" i="3"/>
  <c r="N948" i="3" s="1"/>
  <c r="W948" i="3" l="1"/>
  <c r="L948" i="3"/>
  <c r="AA949" i="3"/>
  <c r="Z949" i="3"/>
  <c r="P949" i="3"/>
  <c r="Q949" i="3" s="1"/>
  <c r="R949" i="3" s="1"/>
  <c r="S949" i="3" s="1"/>
  <c r="AC949" i="3"/>
  <c r="U948" i="3" l="1"/>
  <c r="Y947" i="3"/>
  <c r="T949" i="3"/>
  <c r="E949" i="3" l="1"/>
  <c r="H949" i="3" s="1"/>
  <c r="K949" i="3" s="1"/>
  <c r="AE949" i="3" s="1"/>
  <c r="AH949" i="3"/>
  <c r="D949" i="3"/>
  <c r="AG949" i="3"/>
  <c r="F949" i="3" l="1"/>
  <c r="G949" i="3"/>
  <c r="I949" i="3" s="1"/>
  <c r="V949" i="3"/>
  <c r="A950" i="3"/>
  <c r="B950" i="3" s="1"/>
  <c r="M949" i="3" l="1"/>
  <c r="N949" i="3" s="1"/>
  <c r="J949" i="3"/>
  <c r="W949" i="3"/>
  <c r="AC950" i="3"/>
  <c r="Z950" i="3"/>
  <c r="AA950" i="3"/>
  <c r="P950" i="3"/>
  <c r="Q950" i="3" s="1"/>
  <c r="R950" i="3" s="1"/>
  <c r="S950" i="3" s="1"/>
  <c r="L949" i="3" l="1"/>
  <c r="U949" i="3" s="1"/>
  <c r="AD949" i="3"/>
  <c r="T950" i="3"/>
  <c r="Y948" i="3" l="1"/>
  <c r="AH950" i="3"/>
  <c r="E950" i="3"/>
  <c r="H950" i="3" s="1"/>
  <c r="K950" i="3" s="1"/>
  <c r="AE950" i="3" s="1"/>
  <c r="AG950" i="3"/>
  <c r="D950" i="3"/>
  <c r="F950" i="3" l="1"/>
  <c r="G950" i="3"/>
  <c r="V950" i="3"/>
  <c r="A951" i="3"/>
  <c r="B951" i="3" s="1"/>
  <c r="AC951" i="3" l="1"/>
  <c r="AA951" i="3"/>
  <c r="Z951" i="3"/>
  <c r="P951" i="3"/>
  <c r="Q951" i="3" s="1"/>
  <c r="R951" i="3" s="1"/>
  <c r="S951" i="3" s="1"/>
  <c r="I950" i="3"/>
  <c r="W950" i="3" s="1"/>
  <c r="J950" i="3"/>
  <c r="AD950" i="3" s="1"/>
  <c r="M950" i="3"/>
  <c r="N950" i="3" s="1"/>
  <c r="T951" i="3" l="1"/>
  <c r="L950" i="3"/>
  <c r="AH951" i="3" l="1"/>
  <c r="U950" i="3"/>
  <c r="E951" i="3" s="1"/>
  <c r="H951" i="3" s="1"/>
  <c r="AG951" i="3"/>
  <c r="Y949" i="3"/>
  <c r="D951" i="3" l="1"/>
  <c r="F951" i="3" s="1"/>
  <c r="K951" i="3"/>
  <c r="AE951" i="3" s="1"/>
  <c r="G951" i="3" l="1"/>
  <c r="I951" i="3" s="1"/>
  <c r="V951" i="3"/>
  <c r="A952" i="3"/>
  <c r="B952" i="3" s="1"/>
  <c r="M951" i="3" l="1"/>
  <c r="N951" i="3" s="1"/>
  <c r="J951" i="3"/>
  <c r="AC952" i="3"/>
  <c r="Z952" i="3"/>
  <c r="AA952" i="3"/>
  <c r="P952" i="3"/>
  <c r="Q952" i="3" s="1"/>
  <c r="R952" i="3" s="1"/>
  <c r="S952" i="3" s="1"/>
  <c r="W951" i="3"/>
  <c r="L951" i="3" l="1"/>
  <c r="U951" i="3" s="1"/>
  <c r="AD951" i="3"/>
  <c r="T952" i="3"/>
  <c r="Y950" i="3" l="1"/>
  <c r="AH952" i="3"/>
  <c r="E952" i="3"/>
  <c r="H952" i="3" s="1"/>
  <c r="K952" i="3" s="1"/>
  <c r="AE952" i="3" s="1"/>
  <c r="D952" i="3"/>
  <c r="AG952" i="3"/>
  <c r="F952" i="3" l="1"/>
  <c r="G952" i="3"/>
  <c r="I952" i="3" s="1"/>
  <c r="V952" i="3"/>
  <c r="A953" i="3"/>
  <c r="B953" i="3" s="1"/>
  <c r="M952" i="3" l="1"/>
  <c r="N952" i="3" s="1"/>
  <c r="J952" i="3"/>
  <c r="W952" i="3"/>
  <c r="AC953" i="3"/>
  <c r="AA953" i="3"/>
  <c r="Z953" i="3"/>
  <c r="P953" i="3"/>
  <c r="Q953" i="3" s="1"/>
  <c r="R953" i="3" s="1"/>
  <c r="S953" i="3" s="1"/>
  <c r="L952" i="3" l="1"/>
  <c r="U952" i="3" s="1"/>
  <c r="AD952" i="3"/>
  <c r="T953" i="3"/>
  <c r="Y951" i="3" l="1"/>
  <c r="AH953" i="3"/>
  <c r="D953" i="3"/>
  <c r="G953" i="3" s="1"/>
  <c r="AG953" i="3"/>
  <c r="E953" i="3"/>
  <c r="H953" i="3" s="1"/>
  <c r="K953" i="3" s="1"/>
  <c r="AE953" i="3" s="1"/>
  <c r="F953" i="3" l="1"/>
  <c r="I953" i="3"/>
  <c r="J953" i="3"/>
  <c r="AD953" i="3" s="1"/>
  <c r="M953" i="3"/>
  <c r="N953" i="3" s="1"/>
  <c r="V953" i="3"/>
  <c r="A954" i="3"/>
  <c r="B954" i="3" s="1"/>
  <c r="W953" i="3" l="1"/>
  <c r="AC954" i="3"/>
  <c r="Z954" i="3"/>
  <c r="AA954" i="3"/>
  <c r="P954" i="3"/>
  <c r="Q954" i="3" s="1"/>
  <c r="R954" i="3" s="1"/>
  <c r="S954" i="3" s="1"/>
  <c r="L953" i="3"/>
  <c r="T954" i="3" l="1"/>
  <c r="AH954" i="3" s="1"/>
  <c r="U953" i="3"/>
  <c r="Y952" i="3"/>
  <c r="D954" i="3" l="1"/>
  <c r="G954" i="3" s="1"/>
  <c r="AG954" i="3"/>
  <c r="E954" i="3"/>
  <c r="H954" i="3" s="1"/>
  <c r="K954" i="3" l="1"/>
  <c r="AE954" i="3" s="1"/>
  <c r="I954" i="3"/>
  <c r="J954" i="3"/>
  <c r="AD954" i="3" s="1"/>
  <c r="M954" i="3"/>
  <c r="N954" i="3" s="1"/>
  <c r="F954" i="3"/>
  <c r="L954" i="3" l="1"/>
  <c r="V954" i="3"/>
  <c r="W954" i="3" s="1"/>
  <c r="A955" i="3"/>
  <c r="B955" i="3" s="1"/>
  <c r="Z955" i="3" l="1"/>
  <c r="AA955" i="3"/>
  <c r="P955" i="3"/>
  <c r="Q955" i="3" s="1"/>
  <c r="R955" i="3" s="1"/>
  <c r="S955" i="3" s="1"/>
  <c r="AC955" i="3"/>
  <c r="U954" i="3"/>
  <c r="Y953" i="3"/>
  <c r="T955" i="3" l="1"/>
  <c r="AG955" i="3" s="1"/>
  <c r="E955" i="3" l="1"/>
  <c r="H955" i="3" s="1"/>
  <c r="K955" i="3" s="1"/>
  <c r="AE955" i="3" s="1"/>
  <c r="D955" i="3"/>
  <c r="AH955" i="3"/>
  <c r="F955" i="3" l="1"/>
  <c r="G955" i="3"/>
  <c r="I955" i="3" s="1"/>
  <c r="V955" i="3"/>
  <c r="A956" i="3"/>
  <c r="B956" i="3" s="1"/>
  <c r="M955" i="3" l="1"/>
  <c r="N955" i="3" s="1"/>
  <c r="J955" i="3"/>
  <c r="AA956" i="3"/>
  <c r="Z956" i="3"/>
  <c r="P956" i="3"/>
  <c r="Q956" i="3" s="1"/>
  <c r="R956" i="3" s="1"/>
  <c r="S956" i="3" s="1"/>
  <c r="AC956" i="3"/>
  <c r="W955" i="3"/>
  <c r="L955" i="3" l="1"/>
  <c r="U955" i="3" s="1"/>
  <c r="AD955" i="3"/>
  <c r="T956" i="3"/>
  <c r="Y954" i="3" l="1"/>
  <c r="AH956" i="3"/>
  <c r="D956" i="3"/>
  <c r="G956" i="3" s="1"/>
  <c r="AG956" i="3"/>
  <c r="E956" i="3"/>
  <c r="H956" i="3" s="1"/>
  <c r="K956" i="3" s="1"/>
  <c r="AE956" i="3" s="1"/>
  <c r="F956" i="3" l="1"/>
  <c r="V956" i="3"/>
  <c r="A957" i="3"/>
  <c r="B957" i="3" s="1"/>
  <c r="I956" i="3"/>
  <c r="J956" i="3"/>
  <c r="AD956" i="3" s="1"/>
  <c r="M956" i="3"/>
  <c r="N956" i="3" s="1"/>
  <c r="L956" i="3" l="1"/>
  <c r="Z957" i="3"/>
  <c r="AA957" i="3"/>
  <c r="P957" i="3"/>
  <c r="Q957" i="3" s="1"/>
  <c r="R957" i="3" s="1"/>
  <c r="S957" i="3" s="1"/>
  <c r="AC957" i="3"/>
  <c r="W956" i="3"/>
  <c r="T957" i="3" l="1"/>
  <c r="AG957" i="3" s="1"/>
  <c r="U956" i="3"/>
  <c r="Y955" i="3"/>
  <c r="AH957" i="3" l="1"/>
  <c r="E957" i="3"/>
  <c r="H957" i="3" s="1"/>
  <c r="K957" i="3" s="1"/>
  <c r="AE957" i="3" s="1"/>
  <c r="D957" i="3"/>
  <c r="F957" i="3" l="1"/>
  <c r="G957" i="3"/>
  <c r="V957" i="3"/>
  <c r="A958" i="3"/>
  <c r="B958" i="3" s="1"/>
  <c r="P958" i="3" l="1"/>
  <c r="Q958" i="3" s="1"/>
  <c r="R958" i="3" s="1"/>
  <c r="S958" i="3" s="1"/>
  <c r="AA958" i="3"/>
  <c r="Z958" i="3"/>
  <c r="AC958" i="3"/>
  <c r="I957" i="3"/>
  <c r="W957" i="3" s="1"/>
  <c r="J957" i="3"/>
  <c r="AD957" i="3" s="1"/>
  <c r="M957" i="3"/>
  <c r="N957" i="3" s="1"/>
  <c r="L957" i="3" l="1"/>
  <c r="T958" i="3"/>
  <c r="U957" i="3" l="1"/>
  <c r="E958" i="3" s="1"/>
  <c r="H958" i="3" s="1"/>
  <c r="AG958" i="3"/>
  <c r="AH958" i="3"/>
  <c r="Y956" i="3"/>
  <c r="D958" i="3" l="1"/>
  <c r="F958" i="3" s="1"/>
  <c r="K958" i="3"/>
  <c r="AE958" i="3" s="1"/>
  <c r="G958" i="3" l="1"/>
  <c r="I958" i="3" s="1"/>
  <c r="V958" i="3"/>
  <c r="A959" i="3"/>
  <c r="B959" i="3" s="1"/>
  <c r="M958" i="3" l="1"/>
  <c r="N958" i="3" s="1"/>
  <c r="J958" i="3"/>
  <c r="AD958" i="3" s="1"/>
  <c r="P959" i="3"/>
  <c r="Q959" i="3" s="1"/>
  <c r="R959" i="3" s="1"/>
  <c r="S959" i="3" s="1"/>
  <c r="Z959" i="3"/>
  <c r="AA959" i="3"/>
  <c r="AC959" i="3"/>
  <c r="W958" i="3"/>
  <c r="L958" i="3" l="1"/>
  <c r="U958" i="3" s="1"/>
  <c r="T959" i="3"/>
  <c r="AH959" i="3" l="1"/>
  <c r="Y957" i="3"/>
  <c r="D959" i="3"/>
  <c r="E959" i="3"/>
  <c r="H959" i="3" s="1"/>
  <c r="AG959" i="3"/>
  <c r="K959" i="3" l="1"/>
  <c r="AE959" i="3" s="1"/>
  <c r="F959" i="3"/>
  <c r="G959" i="3"/>
  <c r="I959" i="3" l="1"/>
  <c r="J959" i="3"/>
  <c r="AD959" i="3" s="1"/>
  <c r="M959" i="3"/>
  <c r="N959" i="3" s="1"/>
  <c r="V959" i="3"/>
  <c r="A960" i="3"/>
  <c r="B960" i="3" s="1"/>
  <c r="W959" i="3" l="1"/>
  <c r="AC960" i="3"/>
  <c r="Z960" i="3"/>
  <c r="AA960" i="3"/>
  <c r="P960" i="3"/>
  <c r="Q960" i="3" s="1"/>
  <c r="R960" i="3" s="1"/>
  <c r="S960" i="3" s="1"/>
  <c r="L959" i="3"/>
  <c r="T960" i="3" l="1"/>
  <c r="AH960" i="3" s="1"/>
  <c r="U959" i="3"/>
  <c r="Y958" i="3"/>
  <c r="D960" i="3" l="1"/>
  <c r="G960" i="3" s="1"/>
  <c r="E960" i="3"/>
  <c r="H960" i="3" s="1"/>
  <c r="K960" i="3" s="1"/>
  <c r="AE960" i="3" s="1"/>
  <c r="AG960" i="3"/>
  <c r="F960" i="3" l="1"/>
  <c r="I960" i="3"/>
  <c r="J960" i="3"/>
  <c r="AD960" i="3" s="1"/>
  <c r="M960" i="3"/>
  <c r="N960" i="3" s="1"/>
  <c r="V960" i="3"/>
  <c r="A961" i="3"/>
  <c r="B961" i="3" s="1"/>
  <c r="W960" i="3" l="1"/>
  <c r="AC961" i="3"/>
  <c r="AA961" i="3"/>
  <c r="Z961" i="3"/>
  <c r="P961" i="3"/>
  <c r="Q961" i="3" s="1"/>
  <c r="R961" i="3" s="1"/>
  <c r="S961" i="3" s="1"/>
  <c r="L960" i="3"/>
  <c r="T961" i="3" l="1"/>
  <c r="AG961" i="3" s="1"/>
  <c r="U960" i="3"/>
  <c r="Y959" i="3"/>
  <c r="D961" i="3" l="1"/>
  <c r="G961" i="3" s="1"/>
  <c r="AH961" i="3"/>
  <c r="E961" i="3"/>
  <c r="H961" i="3" s="1"/>
  <c r="K961" i="3" s="1"/>
  <c r="AE961" i="3" s="1"/>
  <c r="F961" i="3" l="1"/>
  <c r="I961" i="3"/>
  <c r="J961" i="3"/>
  <c r="AD961" i="3" s="1"/>
  <c r="M961" i="3"/>
  <c r="N961" i="3" s="1"/>
  <c r="V961" i="3"/>
  <c r="A962" i="3"/>
  <c r="B962" i="3" s="1"/>
  <c r="W961" i="3" l="1"/>
  <c r="P962" i="3"/>
  <c r="Q962" i="3" s="1"/>
  <c r="R962" i="3" s="1"/>
  <c r="S962" i="3" s="1"/>
  <c r="AC962" i="3"/>
  <c r="AA962" i="3"/>
  <c r="Z962" i="3"/>
  <c r="L961" i="3"/>
  <c r="T962" i="3" l="1"/>
  <c r="AH962" i="3" s="1"/>
  <c r="U961" i="3"/>
  <c r="Y960" i="3"/>
  <c r="AG962" i="3" l="1"/>
  <c r="D962" i="3"/>
  <c r="G962" i="3" s="1"/>
  <c r="E962" i="3"/>
  <c r="H962" i="3" s="1"/>
  <c r="K962" i="3" s="1"/>
  <c r="AE962" i="3" s="1"/>
  <c r="F962" i="3" l="1"/>
  <c r="V962" i="3"/>
  <c r="A963" i="3"/>
  <c r="B963" i="3" s="1"/>
  <c r="I962" i="3"/>
  <c r="J962" i="3"/>
  <c r="AD962" i="3" s="1"/>
  <c r="M962" i="3"/>
  <c r="N962" i="3" s="1"/>
  <c r="L962" i="3" l="1"/>
  <c r="P963" i="3"/>
  <c r="Q963" i="3" s="1"/>
  <c r="R963" i="3" s="1"/>
  <c r="S963" i="3" s="1"/>
  <c r="AC963" i="3"/>
  <c r="AA963" i="3"/>
  <c r="Z963" i="3"/>
  <c r="W962" i="3"/>
  <c r="T963" i="3" l="1"/>
  <c r="AH963" i="3" s="1"/>
  <c r="U962" i="3"/>
  <c r="Y961" i="3"/>
  <c r="D963" i="3" l="1"/>
  <c r="G963" i="3" s="1"/>
  <c r="AG963" i="3"/>
  <c r="E963" i="3"/>
  <c r="H963" i="3" s="1"/>
  <c r="K963" i="3" s="1"/>
  <c r="AE963" i="3" s="1"/>
  <c r="F963" i="3" l="1"/>
  <c r="V963" i="3"/>
  <c r="A964" i="3"/>
  <c r="B964" i="3" s="1"/>
  <c r="I963" i="3"/>
  <c r="J963" i="3"/>
  <c r="AD963" i="3" s="1"/>
  <c r="M963" i="3"/>
  <c r="N963" i="3" s="1"/>
  <c r="L963" i="3" l="1"/>
  <c r="P964" i="3"/>
  <c r="Q964" i="3" s="1"/>
  <c r="R964" i="3" s="1"/>
  <c r="S964" i="3" s="1"/>
  <c r="AA964" i="3"/>
  <c r="Z964" i="3"/>
  <c r="AC964" i="3"/>
  <c r="W963" i="3"/>
  <c r="T964" i="3" l="1"/>
  <c r="AG964" i="3" s="1"/>
  <c r="U963" i="3"/>
  <c r="Y962" i="3"/>
  <c r="AH964" i="3" l="1"/>
  <c r="E964" i="3"/>
  <c r="H964" i="3" s="1"/>
  <c r="K964" i="3" s="1"/>
  <c r="AE964" i="3" s="1"/>
  <c r="D964" i="3"/>
  <c r="F964" i="3" l="1"/>
  <c r="G964" i="3"/>
  <c r="I964" i="3" s="1"/>
  <c r="V964" i="3"/>
  <c r="A965" i="3"/>
  <c r="B965" i="3" s="1"/>
  <c r="M964" i="3" l="1"/>
  <c r="N964" i="3" s="1"/>
  <c r="J964" i="3"/>
  <c r="Z965" i="3"/>
  <c r="AC965" i="3"/>
  <c r="P965" i="3"/>
  <c r="Q965" i="3" s="1"/>
  <c r="R965" i="3" s="1"/>
  <c r="S965" i="3" s="1"/>
  <c r="AA965" i="3"/>
  <c r="W964" i="3"/>
  <c r="L964" i="3" l="1"/>
  <c r="U964" i="3" s="1"/>
  <c r="AD964" i="3"/>
  <c r="T965" i="3"/>
  <c r="Y963" i="3" l="1"/>
  <c r="AH965" i="3"/>
  <c r="E965" i="3"/>
  <c r="H965" i="3" s="1"/>
  <c r="K965" i="3" s="1"/>
  <c r="AE965" i="3" s="1"/>
  <c r="AG965" i="3"/>
  <c r="D965" i="3"/>
  <c r="F965" i="3" l="1"/>
  <c r="G965" i="3"/>
  <c r="I965" i="3" s="1"/>
  <c r="V965" i="3"/>
  <c r="A966" i="3"/>
  <c r="B966" i="3" s="1"/>
  <c r="M965" i="3" l="1"/>
  <c r="N965" i="3" s="1"/>
  <c r="J965" i="3"/>
  <c r="W965" i="3"/>
  <c r="Z966" i="3"/>
  <c r="AC966" i="3"/>
  <c r="P966" i="3"/>
  <c r="Q966" i="3" s="1"/>
  <c r="R966" i="3" s="1"/>
  <c r="S966" i="3" s="1"/>
  <c r="AA966" i="3"/>
  <c r="L965" i="3" l="1"/>
  <c r="U965" i="3" s="1"/>
  <c r="AD965" i="3"/>
  <c r="T966" i="3"/>
  <c r="AH966" i="3" l="1"/>
  <c r="Y964" i="3"/>
  <c r="AG966" i="3"/>
  <c r="D966" i="3"/>
  <c r="G966" i="3" s="1"/>
  <c r="E966" i="3"/>
  <c r="H966" i="3" s="1"/>
  <c r="K966" i="3" s="1"/>
  <c r="AE966" i="3" s="1"/>
  <c r="F966" i="3" l="1"/>
  <c r="V966" i="3"/>
  <c r="A967" i="3"/>
  <c r="B967" i="3" s="1"/>
  <c r="I966" i="3"/>
  <c r="J966" i="3"/>
  <c r="AD966" i="3" s="1"/>
  <c r="M966" i="3"/>
  <c r="N966" i="3" s="1"/>
  <c r="L966" i="3" l="1"/>
  <c r="W966" i="3"/>
  <c r="P967" i="3"/>
  <c r="Q967" i="3" s="1"/>
  <c r="R967" i="3" s="1"/>
  <c r="S967" i="3" s="1"/>
  <c r="AA967" i="3"/>
  <c r="Z967" i="3"/>
  <c r="AC967" i="3"/>
  <c r="T967" i="3" l="1"/>
  <c r="AH967" i="3" s="1"/>
  <c r="U966" i="3"/>
  <c r="Y965" i="3"/>
  <c r="AG967" i="3" l="1"/>
  <c r="D967" i="3"/>
  <c r="G967" i="3" s="1"/>
  <c r="E967" i="3"/>
  <c r="H967" i="3" s="1"/>
  <c r="K967" i="3" s="1"/>
  <c r="AE967" i="3" s="1"/>
  <c r="F967" i="3" l="1"/>
  <c r="I967" i="3"/>
  <c r="J967" i="3"/>
  <c r="AD967" i="3" s="1"/>
  <c r="M967" i="3"/>
  <c r="N967" i="3" s="1"/>
  <c r="V967" i="3"/>
  <c r="A968" i="3"/>
  <c r="B968" i="3" s="1"/>
  <c r="W967" i="3" l="1"/>
  <c r="P968" i="3"/>
  <c r="Q968" i="3" s="1"/>
  <c r="R968" i="3" s="1"/>
  <c r="S968" i="3" s="1"/>
  <c r="Z968" i="3"/>
  <c r="AA968" i="3"/>
  <c r="AC968" i="3"/>
  <c r="L967" i="3"/>
  <c r="T968" i="3" l="1"/>
  <c r="AG968" i="3" s="1"/>
  <c r="U967" i="3"/>
  <c r="Y966" i="3"/>
  <c r="E968" i="3" l="1"/>
  <c r="H968" i="3" s="1"/>
  <c r="K968" i="3" s="1"/>
  <c r="AE968" i="3" s="1"/>
  <c r="AH968" i="3"/>
  <c r="D968" i="3"/>
  <c r="F968" i="3" l="1"/>
  <c r="G968" i="3"/>
  <c r="I968" i="3" s="1"/>
  <c r="V968" i="3"/>
  <c r="A969" i="3"/>
  <c r="B969" i="3" s="1"/>
  <c r="M968" i="3" l="1"/>
  <c r="N968" i="3" s="1"/>
  <c r="J968" i="3"/>
  <c r="AA969" i="3"/>
  <c r="P969" i="3"/>
  <c r="Q969" i="3" s="1"/>
  <c r="R969" i="3" s="1"/>
  <c r="S969" i="3" s="1"/>
  <c r="Z969" i="3"/>
  <c r="AC969" i="3"/>
  <c r="W968" i="3"/>
  <c r="L968" i="3" l="1"/>
  <c r="U968" i="3" s="1"/>
  <c r="AD968" i="3"/>
  <c r="T969" i="3"/>
  <c r="Y967" i="3" l="1"/>
  <c r="D969" i="3"/>
  <c r="G969" i="3" s="1"/>
  <c r="AH969" i="3"/>
  <c r="E969" i="3"/>
  <c r="H969" i="3" s="1"/>
  <c r="K969" i="3" s="1"/>
  <c r="AE969" i="3" s="1"/>
  <c r="AG969" i="3"/>
  <c r="F969" i="3" l="1"/>
  <c r="I969" i="3"/>
  <c r="J969" i="3"/>
  <c r="AD969" i="3" s="1"/>
  <c r="M969" i="3"/>
  <c r="N969" i="3" s="1"/>
  <c r="V969" i="3"/>
  <c r="A970" i="3"/>
  <c r="B970" i="3" s="1"/>
  <c r="W969" i="3" l="1"/>
  <c r="AC970" i="3"/>
  <c r="P970" i="3"/>
  <c r="Q970" i="3" s="1"/>
  <c r="R970" i="3" s="1"/>
  <c r="S970" i="3" s="1"/>
  <c r="AA970" i="3"/>
  <c r="Z970" i="3"/>
  <c r="L969" i="3"/>
  <c r="T970" i="3" l="1"/>
  <c r="AG970" i="3" s="1"/>
  <c r="U969" i="3"/>
  <c r="Y968" i="3"/>
  <c r="AH970" i="3" l="1"/>
  <c r="E970" i="3"/>
  <c r="H970" i="3" s="1"/>
  <c r="K970" i="3" s="1"/>
  <c r="AE970" i="3" s="1"/>
  <c r="D970" i="3"/>
  <c r="F970" i="3" l="1"/>
  <c r="G970" i="3"/>
  <c r="I970" i="3" s="1"/>
  <c r="V970" i="3"/>
  <c r="A971" i="3"/>
  <c r="B971" i="3" s="1"/>
  <c r="J970" i="3" l="1"/>
  <c r="W970" i="3"/>
  <c r="M970" i="3"/>
  <c r="N970" i="3" s="1"/>
  <c r="P971" i="3"/>
  <c r="Q971" i="3" s="1"/>
  <c r="R971" i="3" s="1"/>
  <c r="S971" i="3" s="1"/>
  <c r="Z971" i="3"/>
  <c r="AA971" i="3"/>
  <c r="AC971" i="3"/>
  <c r="L970" i="3" l="1"/>
  <c r="U970" i="3" s="1"/>
  <c r="AD970" i="3"/>
  <c r="T971" i="3"/>
  <c r="AH971" i="3" l="1"/>
  <c r="Y969" i="3"/>
  <c r="E971" i="3"/>
  <c r="H971" i="3" s="1"/>
  <c r="K971" i="3" s="1"/>
  <c r="AE971" i="3" s="1"/>
  <c r="AG971" i="3"/>
  <c r="D971" i="3"/>
  <c r="F971" i="3" l="1"/>
  <c r="G971" i="3"/>
  <c r="V971" i="3"/>
  <c r="A972" i="3"/>
  <c r="B972" i="3" s="1"/>
  <c r="P972" i="3" l="1"/>
  <c r="Q972" i="3" s="1"/>
  <c r="R972" i="3" s="1"/>
  <c r="S972" i="3" s="1"/>
  <c r="AC972" i="3"/>
  <c r="Z972" i="3"/>
  <c r="AA972" i="3"/>
  <c r="I971" i="3"/>
  <c r="W971" i="3" s="1"/>
  <c r="J971" i="3"/>
  <c r="AD971" i="3" s="1"/>
  <c r="M971" i="3"/>
  <c r="N971" i="3" s="1"/>
  <c r="L971" i="3" l="1"/>
  <c r="T972" i="3"/>
  <c r="AG972" i="3" l="1"/>
  <c r="AH972" i="3"/>
  <c r="U971" i="3"/>
  <c r="E972" i="3" s="1"/>
  <c r="H972" i="3" s="1"/>
  <c r="Y970" i="3"/>
  <c r="K972" i="3" l="1"/>
  <c r="AE972" i="3" s="1"/>
  <c r="D972" i="3"/>
  <c r="F972" i="3" l="1"/>
  <c r="G972" i="3"/>
  <c r="V972" i="3"/>
  <c r="A973" i="3"/>
  <c r="B973" i="3" s="1"/>
  <c r="AC973" i="3" l="1"/>
  <c r="Z973" i="3"/>
  <c r="P973" i="3"/>
  <c r="Q973" i="3" s="1"/>
  <c r="R973" i="3" s="1"/>
  <c r="S973" i="3" s="1"/>
  <c r="AA973" i="3"/>
  <c r="I972" i="3"/>
  <c r="W972" i="3" s="1"/>
  <c r="J972" i="3"/>
  <c r="AD972" i="3" s="1"/>
  <c r="M972" i="3"/>
  <c r="N972" i="3" s="1"/>
  <c r="L972" i="3" l="1"/>
  <c r="T973" i="3"/>
  <c r="AG973" i="3" l="1"/>
  <c r="U972" i="3"/>
  <c r="D973" i="3" s="1"/>
  <c r="AH973" i="3"/>
  <c r="Y971" i="3"/>
  <c r="E973" i="3" l="1"/>
  <c r="H973" i="3" s="1"/>
  <c r="K973" i="3" s="1"/>
  <c r="AE973" i="3" s="1"/>
  <c r="G973" i="3"/>
  <c r="F973" i="3" l="1"/>
  <c r="V973" i="3"/>
  <c r="A974" i="3"/>
  <c r="B974" i="3" s="1"/>
  <c r="I973" i="3"/>
  <c r="J973" i="3"/>
  <c r="AD973" i="3" s="1"/>
  <c r="M973" i="3"/>
  <c r="N973" i="3" s="1"/>
  <c r="P974" i="3" l="1"/>
  <c r="Q974" i="3" s="1"/>
  <c r="R974" i="3" s="1"/>
  <c r="S974" i="3" s="1"/>
  <c r="AA974" i="3"/>
  <c r="Z974" i="3"/>
  <c r="AC974" i="3"/>
  <c r="AD974" i="3"/>
  <c r="L973" i="3"/>
  <c r="W973" i="3"/>
  <c r="U973" i="3" l="1"/>
  <c r="Y972" i="3"/>
  <c r="T974" i="3"/>
  <c r="AG974" i="3" s="1"/>
  <c r="E974" i="3" l="1"/>
  <c r="H974" i="3" s="1"/>
  <c r="AH974" i="3"/>
  <c r="D974" i="3"/>
  <c r="F974" i="3" l="1"/>
  <c r="G974" i="3"/>
  <c r="K974" i="3"/>
  <c r="AE974" i="3" s="1"/>
  <c r="V974" i="3" l="1"/>
  <c r="A975" i="3"/>
  <c r="B975" i="3" s="1"/>
  <c r="I974" i="3"/>
  <c r="J974" i="3"/>
  <c r="M974" i="3"/>
  <c r="N974" i="3" s="1"/>
  <c r="AD975" i="3" l="1"/>
  <c r="P975" i="3"/>
  <c r="Q975" i="3" s="1"/>
  <c r="R975" i="3" s="1"/>
  <c r="S975" i="3" s="1"/>
  <c r="Z975" i="3"/>
  <c r="AC975" i="3"/>
  <c r="AA975" i="3"/>
  <c r="L974" i="3"/>
  <c r="W974" i="3"/>
  <c r="T975" i="3" l="1"/>
  <c r="AG975" i="3" s="1"/>
  <c r="U974" i="3"/>
  <c r="Y973" i="3"/>
  <c r="E975" i="3" l="1"/>
  <c r="H975" i="3" s="1"/>
  <c r="K975" i="3" s="1"/>
  <c r="AE975" i="3" s="1"/>
  <c r="AH975" i="3"/>
  <c r="D975" i="3"/>
  <c r="F975" i="3" l="1"/>
  <c r="G975" i="3"/>
  <c r="I975" i="3" s="1"/>
  <c r="V975" i="3"/>
  <c r="A976" i="3"/>
  <c r="B976" i="3" s="1"/>
  <c r="M975" i="3" l="1"/>
  <c r="N975" i="3" s="1"/>
  <c r="J975" i="3"/>
  <c r="L975" i="3" s="1"/>
  <c r="W975" i="3"/>
  <c r="AC976" i="3"/>
  <c r="AA976" i="3"/>
  <c r="AD976" i="3"/>
  <c r="Z976" i="3"/>
  <c r="P976" i="3"/>
  <c r="Q976" i="3" s="1"/>
  <c r="R976" i="3" s="1"/>
  <c r="S976" i="3" s="1"/>
  <c r="T976" i="3" l="1"/>
  <c r="AH976" i="3" s="1"/>
  <c r="U975" i="3"/>
  <c r="Y974" i="3"/>
  <c r="D976" i="3" l="1"/>
  <c r="G976" i="3" s="1"/>
  <c r="AG976" i="3"/>
  <c r="E976" i="3"/>
  <c r="H976" i="3" s="1"/>
  <c r="K976" i="3" s="1"/>
  <c r="AE976" i="3" s="1"/>
  <c r="F976" i="3" l="1"/>
  <c r="V976" i="3"/>
  <c r="A977" i="3"/>
  <c r="B977" i="3" s="1"/>
  <c r="I976" i="3"/>
  <c r="J976" i="3"/>
  <c r="M976" i="3"/>
  <c r="N976" i="3" s="1"/>
  <c r="Z977" i="3" l="1"/>
  <c r="P977" i="3"/>
  <c r="Q977" i="3" s="1"/>
  <c r="R977" i="3" s="1"/>
  <c r="S977" i="3" s="1"/>
  <c r="AD977" i="3"/>
  <c r="AC977" i="3"/>
  <c r="AA977" i="3"/>
  <c r="L976" i="3"/>
  <c r="W976" i="3"/>
  <c r="T977" i="3" l="1"/>
  <c r="AH977" i="3" s="1"/>
  <c r="U976" i="3"/>
  <c r="Y975" i="3"/>
  <c r="D977" i="3" l="1"/>
  <c r="G977" i="3" s="1"/>
  <c r="AG977" i="3"/>
  <c r="E977" i="3"/>
  <c r="H977" i="3" s="1"/>
  <c r="K977" i="3" s="1"/>
  <c r="AE977" i="3" s="1"/>
  <c r="F977" i="3" l="1"/>
  <c r="I977" i="3"/>
  <c r="J977" i="3"/>
  <c r="M977" i="3"/>
  <c r="N977" i="3" s="1"/>
  <c r="V977" i="3"/>
  <c r="A978" i="3"/>
  <c r="B978" i="3" s="1"/>
  <c r="W977" i="3" l="1"/>
  <c r="P978" i="3"/>
  <c r="Q978" i="3" s="1"/>
  <c r="R978" i="3" s="1"/>
  <c r="S978" i="3" s="1"/>
  <c r="Z978" i="3"/>
  <c r="AA978" i="3"/>
  <c r="AD978" i="3"/>
  <c r="AC978" i="3"/>
  <c r="L977" i="3"/>
  <c r="T978" i="3" l="1"/>
  <c r="AG978" i="3" s="1"/>
  <c r="U977" i="3"/>
  <c r="Y976" i="3"/>
  <c r="D978" i="3" l="1"/>
  <c r="G978" i="3" s="1"/>
  <c r="AH978" i="3"/>
  <c r="E978" i="3"/>
  <c r="H978" i="3" s="1"/>
  <c r="K978" i="3" l="1"/>
  <c r="AE978" i="3" s="1"/>
  <c r="I978" i="3"/>
  <c r="J978" i="3"/>
  <c r="M978" i="3"/>
  <c r="N978" i="3" s="1"/>
  <c r="F978" i="3"/>
  <c r="L978" i="3" l="1"/>
  <c r="V978" i="3"/>
  <c r="W978" i="3" s="1"/>
  <c r="A979" i="3"/>
  <c r="B979" i="3" s="1"/>
  <c r="AA979" i="3" l="1"/>
  <c r="Z979" i="3"/>
  <c r="P979" i="3"/>
  <c r="Q979" i="3" s="1"/>
  <c r="R979" i="3" s="1"/>
  <c r="S979" i="3" s="1"/>
  <c r="AD979" i="3"/>
  <c r="AC979" i="3"/>
  <c r="U978" i="3"/>
  <c r="Y977" i="3"/>
  <c r="T979" i="3" l="1"/>
  <c r="E979" i="3" s="1"/>
  <c r="H979" i="3" s="1"/>
  <c r="AH979" i="3" l="1"/>
  <c r="K979" i="3"/>
  <c r="AE979" i="3" s="1"/>
  <c r="D979" i="3"/>
  <c r="AG979" i="3"/>
  <c r="F979" i="3" l="1"/>
  <c r="G979" i="3"/>
  <c r="V979" i="3"/>
  <c r="A980" i="3"/>
  <c r="B980" i="3" s="1"/>
  <c r="AD980" i="3" l="1"/>
  <c r="Z980" i="3"/>
  <c r="AA980" i="3"/>
  <c r="P980" i="3"/>
  <c r="Q980" i="3" s="1"/>
  <c r="R980" i="3" s="1"/>
  <c r="S980" i="3" s="1"/>
  <c r="AC980" i="3"/>
  <c r="I979" i="3"/>
  <c r="W979" i="3" s="1"/>
  <c r="J979" i="3"/>
  <c r="M979" i="3"/>
  <c r="N979" i="3" s="1"/>
  <c r="T980" i="3" l="1"/>
  <c r="L979" i="3"/>
  <c r="U979" i="3" l="1"/>
  <c r="D980" i="3" s="1"/>
  <c r="AH980" i="3"/>
  <c r="AG980" i="3"/>
  <c r="Y978" i="3"/>
  <c r="E980" i="3" l="1"/>
  <c r="H980" i="3" s="1"/>
  <c r="K980" i="3" s="1"/>
  <c r="AE980" i="3" s="1"/>
  <c r="G980" i="3"/>
  <c r="F980" i="3" l="1"/>
  <c r="V980" i="3"/>
  <c r="A981" i="3"/>
  <c r="B981" i="3" s="1"/>
  <c r="I980" i="3"/>
  <c r="J980" i="3"/>
  <c r="M980" i="3"/>
  <c r="N980" i="3" s="1"/>
  <c r="L980" i="3" l="1"/>
  <c r="AD981" i="3"/>
  <c r="AA981" i="3"/>
  <c r="P981" i="3"/>
  <c r="Q981" i="3" s="1"/>
  <c r="R981" i="3" s="1"/>
  <c r="S981" i="3" s="1"/>
  <c r="AC981" i="3"/>
  <c r="Z981" i="3"/>
  <c r="W980" i="3"/>
  <c r="T981" i="3" l="1"/>
  <c r="AH981" i="3" s="1"/>
  <c r="U980" i="3"/>
  <c r="Y979" i="3"/>
  <c r="AG981" i="3" l="1"/>
  <c r="D981" i="3"/>
  <c r="G981" i="3" s="1"/>
  <c r="E981" i="3"/>
  <c r="H981" i="3" s="1"/>
  <c r="K981" i="3" s="1"/>
  <c r="AE981" i="3" s="1"/>
  <c r="F981" i="3" l="1"/>
  <c r="I981" i="3"/>
  <c r="J981" i="3"/>
  <c r="M981" i="3"/>
  <c r="N981" i="3" s="1"/>
  <c r="V981" i="3"/>
  <c r="A982" i="3"/>
  <c r="B982" i="3" s="1"/>
  <c r="W981" i="3" l="1"/>
  <c r="AC982" i="3"/>
  <c r="P982" i="3"/>
  <c r="Q982" i="3" s="1"/>
  <c r="R982" i="3" s="1"/>
  <c r="S982" i="3" s="1"/>
  <c r="AD982" i="3"/>
  <c r="Z982" i="3"/>
  <c r="AA982" i="3"/>
  <c r="L981" i="3"/>
  <c r="T982" i="3" l="1"/>
  <c r="AG982" i="3" s="1"/>
  <c r="U981" i="3"/>
  <c r="Y980" i="3"/>
  <c r="AH982" i="3" l="1"/>
  <c r="D982" i="3"/>
  <c r="G982" i="3" s="1"/>
  <c r="E982" i="3"/>
  <c r="H982" i="3" s="1"/>
  <c r="K982" i="3" s="1"/>
  <c r="AE982" i="3" s="1"/>
  <c r="F982" i="3" l="1"/>
  <c r="V982" i="3"/>
  <c r="A983" i="3"/>
  <c r="B983" i="3" s="1"/>
  <c r="I982" i="3"/>
  <c r="J982" i="3"/>
  <c r="M982" i="3"/>
  <c r="N982" i="3" s="1"/>
  <c r="L982" i="3" l="1"/>
  <c r="AC983" i="3"/>
  <c r="AD983" i="3"/>
  <c r="Z983" i="3"/>
  <c r="AA983" i="3"/>
  <c r="P983" i="3"/>
  <c r="Q983" i="3" s="1"/>
  <c r="R983" i="3" s="1"/>
  <c r="S983" i="3" s="1"/>
  <c r="W982" i="3"/>
  <c r="T983" i="3" l="1"/>
  <c r="U982" i="3"/>
  <c r="Y981" i="3"/>
  <c r="E983" i="3" l="1"/>
  <c r="H983" i="3" s="1"/>
  <c r="K983" i="3" s="1"/>
  <c r="AE983" i="3" s="1"/>
  <c r="D983" i="3"/>
  <c r="G983" i="3" s="1"/>
  <c r="AH983" i="3"/>
  <c r="AG983" i="3"/>
  <c r="F983" i="3" l="1"/>
  <c r="V983" i="3"/>
  <c r="A984" i="3"/>
  <c r="B984" i="3" s="1"/>
  <c r="I983" i="3"/>
  <c r="J983" i="3"/>
  <c r="M983" i="3"/>
  <c r="N983" i="3" s="1"/>
  <c r="AD984" i="3" l="1"/>
  <c r="P984" i="3"/>
  <c r="Q984" i="3" s="1"/>
  <c r="R984" i="3" s="1"/>
  <c r="S984" i="3" s="1"/>
  <c r="Z984" i="3"/>
  <c r="AA984" i="3"/>
  <c r="AC984" i="3"/>
  <c r="L983" i="3"/>
  <c r="W983" i="3"/>
  <c r="U983" i="3" l="1"/>
  <c r="Y982" i="3"/>
  <c r="T984" i="3"/>
  <c r="E984" i="3" l="1"/>
  <c r="H984" i="3" s="1"/>
  <c r="K984" i="3" s="1"/>
  <c r="AE984" i="3" s="1"/>
  <c r="AH984" i="3"/>
  <c r="AG984" i="3"/>
  <c r="D984" i="3"/>
  <c r="F984" i="3" l="1"/>
  <c r="G984" i="3"/>
  <c r="I984" i="3" s="1"/>
  <c r="V984" i="3"/>
  <c r="A985" i="3"/>
  <c r="B985" i="3" s="1"/>
  <c r="M984" i="3" l="1"/>
  <c r="N984" i="3" s="1"/>
  <c r="J984" i="3"/>
  <c r="L984" i="3" s="1"/>
  <c r="W984" i="3"/>
  <c r="Z985" i="3"/>
  <c r="P985" i="3"/>
  <c r="Q985" i="3" s="1"/>
  <c r="R985" i="3" s="1"/>
  <c r="S985" i="3" s="1"/>
  <c r="AA985" i="3"/>
  <c r="AD985" i="3"/>
  <c r="AC985" i="3"/>
  <c r="T985" i="3" l="1"/>
  <c r="AG985" i="3" s="1"/>
  <c r="U984" i="3"/>
  <c r="Y983" i="3"/>
  <c r="D985" i="3" l="1"/>
  <c r="G985" i="3" s="1"/>
  <c r="E985" i="3"/>
  <c r="H985" i="3" s="1"/>
  <c r="K985" i="3" s="1"/>
  <c r="AE985" i="3" s="1"/>
  <c r="AH985" i="3"/>
  <c r="F985" i="3" l="1"/>
  <c r="I985" i="3"/>
  <c r="J985" i="3"/>
  <c r="M985" i="3"/>
  <c r="N985" i="3" s="1"/>
  <c r="V985" i="3"/>
  <c r="A986" i="3"/>
  <c r="B986" i="3" s="1"/>
  <c r="W985" i="3" l="1"/>
  <c r="AC986" i="3"/>
  <c r="AA986" i="3"/>
  <c r="AD986" i="3"/>
  <c r="Z986" i="3"/>
  <c r="P986" i="3"/>
  <c r="Q986" i="3" s="1"/>
  <c r="R986" i="3" s="1"/>
  <c r="S986" i="3" s="1"/>
  <c r="L985" i="3"/>
  <c r="T986" i="3" l="1"/>
  <c r="AH986" i="3" s="1"/>
  <c r="U985" i="3"/>
  <c r="Y984" i="3"/>
  <c r="D986" i="3" l="1"/>
  <c r="G986" i="3" s="1"/>
  <c r="AG986" i="3"/>
  <c r="E986" i="3"/>
  <c r="H986" i="3" s="1"/>
  <c r="K986" i="3" s="1"/>
  <c r="AE986" i="3" s="1"/>
  <c r="F986" i="3" l="1"/>
  <c r="I986" i="3"/>
  <c r="J986" i="3"/>
  <c r="M986" i="3"/>
  <c r="N986" i="3" s="1"/>
  <c r="V986" i="3"/>
  <c r="A987" i="3"/>
  <c r="B987" i="3" s="1"/>
  <c r="W986" i="3" l="1"/>
  <c r="AD987" i="3"/>
  <c r="AA987" i="3"/>
  <c r="Z987" i="3"/>
  <c r="AC987" i="3"/>
  <c r="P987" i="3"/>
  <c r="Q987" i="3" s="1"/>
  <c r="R987" i="3" s="1"/>
  <c r="S987" i="3" s="1"/>
  <c r="L986" i="3"/>
  <c r="T987" i="3" l="1"/>
  <c r="AH987" i="3" s="1"/>
  <c r="U986" i="3"/>
  <c r="Y985" i="3"/>
  <c r="D987" i="3" l="1"/>
  <c r="G987" i="3" s="1"/>
  <c r="AG987" i="3"/>
  <c r="E987" i="3"/>
  <c r="H987" i="3" s="1"/>
  <c r="K987" i="3" s="1"/>
  <c r="AE987" i="3" s="1"/>
  <c r="F987" i="3" l="1"/>
  <c r="V987" i="3"/>
  <c r="A988" i="3"/>
  <c r="B988" i="3" s="1"/>
  <c r="I987" i="3"/>
  <c r="J987" i="3"/>
  <c r="M987" i="3"/>
  <c r="N987" i="3" s="1"/>
  <c r="L987" i="3" l="1"/>
  <c r="Z988" i="3"/>
  <c r="AD988" i="3"/>
  <c r="P988" i="3"/>
  <c r="Q988" i="3" s="1"/>
  <c r="R988" i="3" s="1"/>
  <c r="S988" i="3" s="1"/>
  <c r="AA988" i="3"/>
  <c r="AC988" i="3"/>
  <c r="W987" i="3"/>
  <c r="T988" i="3" l="1"/>
  <c r="AH988" i="3" s="1"/>
  <c r="U987" i="3"/>
  <c r="Y986" i="3"/>
  <c r="E988" i="3" l="1"/>
  <c r="H988" i="3" s="1"/>
  <c r="K988" i="3" s="1"/>
  <c r="AE988" i="3" s="1"/>
  <c r="AG988" i="3"/>
  <c r="D988" i="3"/>
  <c r="F988" i="3" l="1"/>
  <c r="G988" i="3"/>
  <c r="I988" i="3" s="1"/>
  <c r="V988" i="3"/>
  <c r="A989" i="3"/>
  <c r="B989" i="3" s="1"/>
  <c r="M988" i="3" l="1"/>
  <c r="N988" i="3" s="1"/>
  <c r="J988" i="3"/>
  <c r="L988" i="3" s="1"/>
  <c r="Z989" i="3"/>
  <c r="AA989" i="3"/>
  <c r="AD989" i="3"/>
  <c r="P989" i="3"/>
  <c r="Q989" i="3" s="1"/>
  <c r="R989" i="3" s="1"/>
  <c r="S989" i="3" s="1"/>
  <c r="AC989" i="3"/>
  <c r="W988" i="3"/>
  <c r="T989" i="3" l="1"/>
  <c r="AG989" i="3" s="1"/>
  <c r="U988" i="3"/>
  <c r="Y987" i="3"/>
  <c r="E989" i="3" l="1"/>
  <c r="H989" i="3" s="1"/>
  <c r="K989" i="3" s="1"/>
  <c r="AE989" i="3" s="1"/>
  <c r="AH989" i="3"/>
  <c r="D989" i="3"/>
  <c r="F989" i="3" l="1"/>
  <c r="G989" i="3"/>
  <c r="I989" i="3" s="1"/>
  <c r="V989" i="3"/>
  <c r="A990" i="3"/>
  <c r="B990" i="3" s="1"/>
  <c r="M989" i="3" l="1"/>
  <c r="N989" i="3" s="1"/>
  <c r="J989" i="3"/>
  <c r="L989" i="3" s="1"/>
  <c r="W989" i="3"/>
  <c r="AA990" i="3"/>
  <c r="P990" i="3"/>
  <c r="Q990" i="3" s="1"/>
  <c r="R990" i="3" s="1"/>
  <c r="S990" i="3" s="1"/>
  <c r="Z990" i="3"/>
  <c r="AD990" i="3"/>
  <c r="AC990" i="3"/>
  <c r="T990" i="3" l="1"/>
  <c r="AH990" i="3" s="1"/>
  <c r="U989" i="3"/>
  <c r="Y988" i="3"/>
  <c r="E990" i="3" l="1"/>
  <c r="H990" i="3" s="1"/>
  <c r="K990" i="3" s="1"/>
  <c r="AE990" i="3" s="1"/>
  <c r="AG990" i="3"/>
  <c r="D990" i="3"/>
  <c r="F990" i="3" l="1"/>
  <c r="G990" i="3"/>
  <c r="I990" i="3" s="1"/>
  <c r="V990" i="3"/>
  <c r="A991" i="3"/>
  <c r="B991" i="3" s="1"/>
  <c r="J990" i="3" l="1"/>
  <c r="L990" i="3" s="1"/>
  <c r="W990" i="3"/>
  <c r="M990" i="3"/>
  <c r="N990" i="3" s="1"/>
  <c r="AD991" i="3"/>
  <c r="AC991" i="3"/>
  <c r="P991" i="3"/>
  <c r="Q991" i="3" s="1"/>
  <c r="R991" i="3" s="1"/>
  <c r="S991" i="3" s="1"/>
  <c r="AA991" i="3"/>
  <c r="Z991" i="3"/>
  <c r="T991" i="3" l="1"/>
  <c r="AH991" i="3" s="1"/>
  <c r="U990" i="3"/>
  <c r="Y989" i="3"/>
  <c r="D991" i="3" l="1"/>
  <c r="G991" i="3" s="1"/>
  <c r="E991" i="3"/>
  <c r="H991" i="3" s="1"/>
  <c r="K991" i="3" s="1"/>
  <c r="AE991" i="3" s="1"/>
  <c r="AG991" i="3"/>
  <c r="F991" i="3" l="1"/>
  <c r="V991" i="3"/>
  <c r="A992" i="3"/>
  <c r="B992" i="3" s="1"/>
  <c r="I991" i="3"/>
  <c r="J991" i="3"/>
  <c r="M991" i="3"/>
  <c r="N991" i="3" s="1"/>
  <c r="L991" i="3" l="1"/>
  <c r="AC992" i="3"/>
  <c r="AA992" i="3"/>
  <c r="AD992" i="3"/>
  <c r="P992" i="3"/>
  <c r="Q992" i="3" s="1"/>
  <c r="R992" i="3" s="1"/>
  <c r="S992" i="3" s="1"/>
  <c r="Z992" i="3"/>
  <c r="W991" i="3"/>
  <c r="U991" i="3" l="1"/>
  <c r="Y990" i="3"/>
  <c r="T992" i="3"/>
  <c r="E992" i="3" l="1"/>
  <c r="H992" i="3" s="1"/>
  <c r="K992" i="3" s="1"/>
  <c r="AE992" i="3" s="1"/>
  <c r="AG992" i="3"/>
  <c r="D992" i="3"/>
  <c r="AH992" i="3"/>
  <c r="F992" i="3" l="1"/>
  <c r="G992" i="3"/>
  <c r="V992" i="3"/>
  <c r="A993" i="3"/>
  <c r="B993" i="3" s="1"/>
  <c r="AA993" i="3" l="1"/>
  <c r="AD993" i="3"/>
  <c r="Z993" i="3"/>
  <c r="AC993" i="3"/>
  <c r="P993" i="3"/>
  <c r="Q993" i="3" s="1"/>
  <c r="R993" i="3" s="1"/>
  <c r="S993" i="3" s="1"/>
  <c r="I992" i="3"/>
  <c r="W992" i="3" s="1"/>
  <c r="J992" i="3"/>
  <c r="M992" i="3"/>
  <c r="N992" i="3" s="1"/>
  <c r="L992" i="3" l="1"/>
  <c r="T993" i="3"/>
  <c r="AG993" i="3" l="1"/>
  <c r="AH993" i="3"/>
  <c r="U992" i="3"/>
  <c r="D993" i="3" s="1"/>
  <c r="Y991" i="3"/>
  <c r="E993" i="3" l="1"/>
  <c r="H993" i="3" s="1"/>
  <c r="K993" i="3" s="1"/>
  <c r="AE993" i="3" s="1"/>
  <c r="G993" i="3"/>
  <c r="F993" i="3" l="1"/>
  <c r="V993" i="3"/>
  <c r="A994" i="3"/>
  <c r="B994" i="3" s="1"/>
  <c r="I993" i="3"/>
  <c r="J993" i="3"/>
  <c r="M993" i="3"/>
  <c r="N993" i="3" s="1"/>
  <c r="L993" i="3" l="1"/>
  <c r="W993" i="3"/>
  <c r="AD994" i="3"/>
  <c r="AA994" i="3"/>
  <c r="AC994" i="3"/>
  <c r="Z994" i="3"/>
  <c r="P994" i="3"/>
  <c r="Q994" i="3" s="1"/>
  <c r="R994" i="3" s="1"/>
  <c r="S994" i="3" s="1"/>
  <c r="T994" i="3" l="1"/>
  <c r="AG994" i="3" s="1"/>
  <c r="U993" i="3"/>
  <c r="Y992" i="3"/>
  <c r="E994" i="3" l="1"/>
  <c r="H994" i="3" s="1"/>
  <c r="K994" i="3" s="1"/>
  <c r="AE994" i="3" s="1"/>
  <c r="AH994" i="3"/>
  <c r="D994" i="3"/>
  <c r="F994" i="3" l="1"/>
  <c r="G994" i="3"/>
  <c r="V994" i="3"/>
  <c r="A995" i="3"/>
  <c r="B995" i="3" s="1"/>
  <c r="AD995" i="3" l="1"/>
  <c r="AC995" i="3"/>
  <c r="AA995" i="3"/>
  <c r="Z995" i="3"/>
  <c r="P995" i="3"/>
  <c r="Q995" i="3" s="1"/>
  <c r="R995" i="3" s="1"/>
  <c r="S995" i="3" s="1"/>
  <c r="I994" i="3"/>
  <c r="W994" i="3" s="1"/>
  <c r="J994" i="3"/>
  <c r="M994" i="3"/>
  <c r="N994" i="3" s="1"/>
  <c r="T995" i="3" l="1"/>
  <c r="L994" i="3"/>
  <c r="AH995" i="3" l="1"/>
  <c r="AG995" i="3"/>
  <c r="U994" i="3"/>
  <c r="D995" i="3" s="1"/>
  <c r="Y993" i="3"/>
  <c r="G995" i="3" l="1"/>
  <c r="E995" i="3"/>
  <c r="H995" i="3" s="1"/>
  <c r="K995" i="3" l="1"/>
  <c r="AE995" i="3" s="1"/>
  <c r="I995" i="3"/>
  <c r="J995" i="3"/>
  <c r="M995" i="3"/>
  <c r="N995" i="3" s="1"/>
  <c r="F995" i="3"/>
  <c r="L995" i="3" l="1"/>
  <c r="V995" i="3"/>
  <c r="W995" i="3" s="1"/>
  <c r="A996" i="3"/>
  <c r="B996" i="3" s="1"/>
  <c r="AA996" i="3" l="1"/>
  <c r="Z996" i="3"/>
  <c r="AD996" i="3"/>
  <c r="P996" i="3"/>
  <c r="Q996" i="3" s="1"/>
  <c r="R996" i="3" s="1"/>
  <c r="S996" i="3" s="1"/>
  <c r="AC996" i="3"/>
  <c r="U995" i="3"/>
  <c r="Y994" i="3"/>
  <c r="T996" i="3" l="1"/>
  <c r="AH996" i="3" s="1"/>
  <c r="AG996" i="3" l="1"/>
  <c r="E996" i="3"/>
  <c r="H996" i="3" s="1"/>
  <c r="K996" i="3" s="1"/>
  <c r="AE996" i="3" s="1"/>
  <c r="D996" i="3"/>
  <c r="G996" i="3" s="1"/>
  <c r="F996" i="3" l="1"/>
  <c r="I996" i="3"/>
  <c r="J996" i="3"/>
  <c r="M996" i="3"/>
  <c r="N996" i="3" s="1"/>
  <c r="V996" i="3"/>
  <c r="A997" i="3"/>
  <c r="B997" i="3" s="1"/>
  <c r="W996" i="3" l="1"/>
  <c r="AD997" i="3"/>
  <c r="P997" i="3"/>
  <c r="Q997" i="3" s="1"/>
  <c r="R997" i="3" s="1"/>
  <c r="S997" i="3" s="1"/>
  <c r="AA997" i="3"/>
  <c r="Z997" i="3"/>
  <c r="AC997" i="3"/>
  <c r="L996" i="3"/>
  <c r="T997" i="3" l="1"/>
  <c r="AH997" i="3" s="1"/>
  <c r="U996" i="3"/>
  <c r="Y995" i="3"/>
  <c r="AG997" i="3" l="1"/>
  <c r="E997" i="3"/>
  <c r="H997" i="3" s="1"/>
  <c r="K997" i="3" s="1"/>
  <c r="AE997" i="3" s="1"/>
  <c r="D997" i="3"/>
  <c r="F997" i="3" l="1"/>
  <c r="G997" i="3"/>
  <c r="I997" i="3" s="1"/>
  <c r="V997" i="3"/>
  <c r="A998" i="3"/>
  <c r="B998" i="3" s="1"/>
  <c r="M997" i="3" l="1"/>
  <c r="N997" i="3" s="1"/>
  <c r="W997" i="3"/>
  <c r="J997" i="3"/>
  <c r="L997" i="3" s="1"/>
  <c r="Z998" i="3"/>
  <c r="AC998" i="3"/>
  <c r="AA998" i="3"/>
  <c r="AD998" i="3"/>
  <c r="P998" i="3"/>
  <c r="Q998" i="3" s="1"/>
  <c r="R998" i="3" s="1"/>
  <c r="S998" i="3" s="1"/>
  <c r="T998" i="3" l="1"/>
  <c r="AG998" i="3" s="1"/>
  <c r="U997" i="3"/>
  <c r="Y996" i="3"/>
  <c r="AH998" i="3" l="1"/>
  <c r="E998" i="3"/>
  <c r="H998" i="3" s="1"/>
  <c r="K998" i="3" s="1"/>
  <c r="AE998" i="3" s="1"/>
  <c r="D998" i="3"/>
  <c r="F998" i="3" l="1"/>
  <c r="G998" i="3"/>
  <c r="I998" i="3" s="1"/>
  <c r="V998" i="3"/>
  <c r="A999" i="3"/>
  <c r="B999" i="3" s="1"/>
  <c r="M998" i="3" l="1"/>
  <c r="N998" i="3" s="1"/>
  <c r="J998" i="3"/>
  <c r="L998" i="3" s="1"/>
  <c r="AC999" i="3"/>
  <c r="P999" i="3"/>
  <c r="Q999" i="3" s="1"/>
  <c r="R999" i="3" s="1"/>
  <c r="S999" i="3" s="1"/>
  <c r="AA999" i="3"/>
  <c r="Z999" i="3"/>
  <c r="AD999" i="3"/>
  <c r="W998" i="3"/>
  <c r="T999" i="3" l="1"/>
  <c r="AG999" i="3" s="1"/>
  <c r="U998" i="3"/>
  <c r="Y997" i="3"/>
  <c r="E999" i="3" l="1"/>
  <c r="H999" i="3" s="1"/>
  <c r="K999" i="3" s="1"/>
  <c r="AE999" i="3" s="1"/>
  <c r="AH999" i="3"/>
  <c r="D999" i="3"/>
  <c r="F999" i="3" l="1"/>
  <c r="G999" i="3"/>
  <c r="V999" i="3"/>
  <c r="A1000" i="3"/>
  <c r="B1000" i="3" s="1"/>
  <c r="I999" i="3" l="1"/>
  <c r="W999" i="3" s="1"/>
  <c r="J999" i="3"/>
  <c r="M999" i="3"/>
  <c r="N999" i="3" s="1"/>
  <c r="P1000" i="3"/>
  <c r="Q1000" i="3" s="1"/>
  <c r="R1000" i="3" s="1"/>
  <c r="S1000" i="3" s="1"/>
  <c r="Z1000" i="3"/>
  <c r="AC1000" i="3"/>
  <c r="AA1000" i="3"/>
  <c r="AD1000" i="3"/>
  <c r="T1000" i="3" l="1"/>
  <c r="L999" i="3"/>
  <c r="AH1000" i="3" l="1"/>
  <c r="U999" i="3"/>
  <c r="E1000" i="3" s="1"/>
  <c r="H1000" i="3" s="1"/>
  <c r="AG1000" i="3"/>
  <c r="Y998" i="3"/>
  <c r="D1000" i="3" l="1"/>
  <c r="F1000" i="3" s="1"/>
  <c r="K1000" i="3"/>
  <c r="AE1000" i="3" s="1"/>
  <c r="G1000" i="3" l="1"/>
  <c r="I1000" i="3" s="1"/>
  <c r="V1000" i="3"/>
  <c r="A1001" i="3"/>
  <c r="B1001" i="3" s="1"/>
  <c r="M1000" i="3" l="1"/>
  <c r="N1000" i="3" s="1"/>
  <c r="J1000" i="3"/>
  <c r="L1000" i="3" s="1"/>
  <c r="Z1001" i="3"/>
  <c r="AA1001" i="3"/>
  <c r="P1001" i="3"/>
  <c r="Q1001" i="3" s="1"/>
  <c r="R1001" i="3" s="1"/>
  <c r="S1001" i="3" s="1"/>
  <c r="AD1001" i="3"/>
  <c r="AC1001" i="3"/>
  <c r="W1000" i="3"/>
  <c r="T1001" i="3" l="1"/>
  <c r="AH1001" i="3" s="1"/>
  <c r="U1000" i="3"/>
  <c r="Y999" i="3"/>
  <c r="D1001" i="3" l="1"/>
  <c r="G1001" i="3" s="1"/>
  <c r="E1001" i="3"/>
  <c r="H1001" i="3" s="1"/>
  <c r="K1001" i="3" s="1"/>
  <c r="AE1001" i="3" s="1"/>
  <c r="AG1001" i="3"/>
  <c r="F1001" i="3" l="1"/>
  <c r="V1001" i="3"/>
  <c r="A1002" i="3"/>
  <c r="B1002" i="3" s="1"/>
  <c r="I1001" i="3"/>
  <c r="J1001" i="3"/>
  <c r="M1001" i="3"/>
  <c r="N1001" i="3" s="1"/>
  <c r="L1001" i="3" l="1"/>
  <c r="AD1002" i="3"/>
  <c r="P1002" i="3"/>
  <c r="Q1002" i="3" s="1"/>
  <c r="R1002" i="3" s="1"/>
  <c r="S1002" i="3" s="1"/>
  <c r="AC1002" i="3"/>
  <c r="AA1002" i="3"/>
  <c r="Z1002" i="3"/>
  <c r="W1001" i="3"/>
  <c r="T1002" i="3" l="1"/>
  <c r="AG1002" i="3" s="1"/>
  <c r="U1001" i="3"/>
  <c r="Y1000" i="3"/>
  <c r="AH1002" i="3" l="1"/>
  <c r="D1002" i="3"/>
  <c r="G1002" i="3" s="1"/>
  <c r="E1002" i="3"/>
  <c r="H1002" i="3" s="1"/>
  <c r="K1002" i="3" s="1"/>
  <c r="AE1002" i="3" s="1"/>
  <c r="F1002" i="3" l="1"/>
  <c r="V1002" i="3"/>
  <c r="A1003" i="3"/>
  <c r="B1003" i="3" s="1"/>
  <c r="I1002" i="3"/>
  <c r="J1002" i="3"/>
  <c r="M1002" i="3"/>
  <c r="N1002" i="3" s="1"/>
  <c r="AA1003" i="3" l="1"/>
  <c r="Z1003" i="3"/>
  <c r="P1003" i="3"/>
  <c r="Q1003" i="3" s="1"/>
  <c r="R1003" i="3" s="1"/>
  <c r="S1003" i="3" s="1"/>
  <c r="AC1003" i="3"/>
  <c r="AD1003" i="3"/>
  <c r="L1002" i="3"/>
  <c r="W1002" i="3"/>
  <c r="T1003" i="3" l="1"/>
  <c r="AG1003" i="3" s="1"/>
  <c r="U1002" i="3"/>
  <c r="Y1001" i="3"/>
  <c r="D1003" i="3" l="1"/>
  <c r="G1003" i="3" s="1"/>
  <c r="AH1003" i="3"/>
  <c r="E1003" i="3"/>
  <c r="H1003" i="3" s="1"/>
  <c r="K1003" i="3" s="1"/>
  <c r="AE1003" i="3" s="1"/>
  <c r="F1003" i="3" l="1"/>
  <c r="I1003" i="3"/>
  <c r="J1003" i="3"/>
  <c r="M1003" i="3"/>
  <c r="N1003" i="3" s="1"/>
  <c r="V1003" i="3"/>
  <c r="A1004" i="3"/>
  <c r="B1004" i="3" s="1"/>
  <c r="W1003" i="3" l="1"/>
  <c r="AD1004" i="3"/>
  <c r="AC1004" i="3"/>
  <c r="AA1004" i="3"/>
  <c r="Z1004" i="3"/>
  <c r="P1004" i="3"/>
  <c r="Q1004" i="3" s="1"/>
  <c r="R1004" i="3" s="1"/>
  <c r="S1004" i="3" s="1"/>
  <c r="T1004" i="3" s="1"/>
  <c r="L1003" i="3"/>
  <c r="K46" i="1" l="1"/>
  <c r="I46" i="1"/>
  <c r="J27" i="1"/>
  <c r="L46" i="1"/>
  <c r="K27" i="1"/>
  <c r="I27" i="1"/>
  <c r="M46" i="1"/>
  <c r="J46" i="1"/>
  <c r="AG1004" i="3"/>
  <c r="AH1004" i="3"/>
  <c r="U1003" i="3"/>
  <c r="D1004" i="3" s="1"/>
  <c r="Y1002" i="3"/>
  <c r="J48" i="1"/>
  <c r="I25" i="1"/>
  <c r="K48" i="1"/>
  <c r="L48" i="1"/>
  <c r="J25" i="1"/>
  <c r="I48" i="1"/>
  <c r="K25" i="1"/>
  <c r="M48" i="1"/>
  <c r="E1004" i="3" l="1"/>
  <c r="H1004" i="3" s="1"/>
  <c r="K1004" i="3" s="1"/>
  <c r="AE1004" i="3" s="1"/>
  <c r="G1004" i="3"/>
  <c r="C122" i="1"/>
  <c r="C155" i="1"/>
  <c r="C129" i="1"/>
  <c r="C130" i="1" s="1"/>
  <c r="C126" i="1"/>
  <c r="C121" i="1"/>
  <c r="C31" i="1"/>
  <c r="C33" i="1"/>
  <c r="J47" i="1" s="1"/>
  <c r="C124" i="1"/>
  <c r="H72" i="7"/>
  <c r="H73" i="7" s="1"/>
  <c r="M27" i="1"/>
  <c r="H70" i="7"/>
  <c r="M25" i="1"/>
  <c r="I72" i="7"/>
  <c r="I73" i="7" s="1"/>
  <c r="I70" i="7"/>
  <c r="B125" i="1"/>
  <c r="B123" i="1"/>
  <c r="B127" i="1"/>
  <c r="B128" i="1"/>
  <c r="B124" i="1"/>
  <c r="D155" i="1"/>
  <c r="B126" i="1"/>
  <c r="B129" i="1"/>
  <c r="D33" i="1"/>
  <c r="J49" i="1" s="1"/>
  <c r="D31" i="1"/>
  <c r="F1004" i="3" l="1"/>
  <c r="H47" i="1"/>
  <c r="C32" i="1"/>
  <c r="E31" i="7"/>
  <c r="I1004" i="3"/>
  <c r="J1004" i="3"/>
  <c r="L1004" i="3" s="1"/>
  <c r="Y1004" i="3" s="1"/>
  <c r="M1004" i="3"/>
  <c r="N1004" i="3" s="1"/>
  <c r="V1004" i="3"/>
  <c r="D32" i="1"/>
  <c r="H49" i="1"/>
  <c r="L42" i="1"/>
  <c r="L24" i="1"/>
  <c r="W1004" i="3" l="1"/>
  <c r="M43" i="1"/>
  <c r="L43" i="1"/>
  <c r="H43" i="1"/>
  <c r="H41" i="1"/>
  <c r="M41" i="1"/>
  <c r="K41" i="1"/>
  <c r="K43" i="1"/>
  <c r="I43" i="1"/>
  <c r="I41" i="1"/>
  <c r="M44" i="1"/>
  <c r="J45" i="1"/>
  <c r="L44" i="1"/>
  <c r="J43" i="1"/>
  <c r="K44" i="1"/>
  <c r="U1004" i="3"/>
  <c r="Y1003" i="3"/>
  <c r="L41" i="1" s="1"/>
  <c r="E120" i="7"/>
  <c r="F120" i="7" s="1"/>
  <c r="E62" i="7"/>
  <c r="F62" i="7" s="1"/>
  <c r="E119" i="7"/>
  <c r="F119" i="7" s="1"/>
  <c r="E133" i="7"/>
  <c r="L31" i="7"/>
  <c r="H117" i="7"/>
  <c r="E65" i="7"/>
  <c r="F65" i="7" s="1"/>
  <c r="E63" i="7"/>
  <c r="F63" i="7" s="1"/>
  <c r="H59" i="7"/>
  <c r="K42" i="1"/>
  <c r="K24" i="1"/>
  <c r="B135" i="1"/>
  <c r="B133" i="1"/>
  <c r="B132" i="1" s="1"/>
  <c r="F133" i="1"/>
  <c r="B137" i="1"/>
  <c r="F134" i="1"/>
  <c r="C133" i="1"/>
  <c r="C135" i="1"/>
  <c r="K26" i="1" l="1"/>
  <c r="H55" i="7" s="1"/>
  <c r="H45" i="1"/>
  <c r="H44" i="1"/>
  <c r="M45" i="1"/>
  <c r="I26" i="1"/>
  <c r="B192" i="1" s="1"/>
  <c r="L45" i="1"/>
  <c r="I44" i="1"/>
  <c r="H28" i="1"/>
  <c r="F132" i="1" s="1"/>
  <c r="J28" i="1"/>
  <c r="H19" i="7" s="1"/>
  <c r="H26" i="1"/>
  <c r="J41" i="1"/>
  <c r="J44" i="1"/>
  <c r="K23" i="1"/>
  <c r="F21" i="1" s="1"/>
  <c r="K45" i="1"/>
  <c r="K28" i="1" s="1"/>
  <c r="M28" i="1" s="1"/>
  <c r="J26" i="1"/>
  <c r="D181" i="1" s="1"/>
  <c r="H58" i="7"/>
  <c r="M31" i="7"/>
  <c r="E121" i="7"/>
  <c r="F121" i="7" s="1"/>
  <c r="H116" i="7"/>
  <c r="E64" i="7"/>
  <c r="F64" i="7" s="1"/>
  <c r="H114" i="7" l="1"/>
  <c r="E128" i="7"/>
  <c r="E129" i="7" s="1"/>
  <c r="F129" i="7" s="1"/>
  <c r="K31" i="7"/>
  <c r="B158" i="1"/>
  <c r="H31" i="7"/>
  <c r="B161" i="1"/>
  <c r="B199" i="1"/>
  <c r="B164" i="1"/>
  <c r="H54" i="7"/>
  <c r="B180" i="1"/>
  <c r="B183" i="1"/>
  <c r="B187" i="1"/>
  <c r="B168" i="1"/>
  <c r="B173" i="1"/>
  <c r="B169" i="1"/>
  <c r="C118" i="1"/>
  <c r="B195" i="1"/>
  <c r="B163" i="1"/>
  <c r="B174" i="1"/>
  <c r="B179" i="1"/>
  <c r="B198" i="1"/>
  <c r="B171" i="1"/>
  <c r="B190" i="1"/>
  <c r="H113" i="7"/>
  <c r="B172" i="1"/>
  <c r="B193" i="1"/>
  <c r="B186" i="1"/>
  <c r="B120" i="1"/>
  <c r="B166" i="1"/>
  <c r="C156" i="1"/>
  <c r="B188" i="1"/>
  <c r="B167" i="1"/>
  <c r="B182" i="1"/>
  <c r="B194" i="1"/>
  <c r="B185" i="1"/>
  <c r="B176" i="1"/>
  <c r="B165" i="1"/>
  <c r="B170" i="1"/>
  <c r="S26" i="6"/>
  <c r="B162" i="1"/>
  <c r="B181" i="1"/>
  <c r="B175" i="1"/>
  <c r="B184" i="1"/>
  <c r="B191" i="1"/>
  <c r="B196" i="1"/>
  <c r="B197" i="1"/>
  <c r="B189" i="1"/>
  <c r="F150" i="1"/>
  <c r="F151" i="1"/>
  <c r="H112" i="7"/>
  <c r="S25" i="6"/>
  <c r="H44" i="7"/>
  <c r="P29" i="1"/>
  <c r="H57" i="7"/>
  <c r="P32" i="1"/>
  <c r="D31" i="7"/>
  <c r="H53" i="7"/>
  <c r="H115" i="7"/>
  <c r="H56" i="7"/>
  <c r="P31" i="1"/>
  <c r="I67" i="7"/>
  <c r="J31" i="7"/>
  <c r="F184" i="1"/>
  <c r="F196" i="1"/>
  <c r="D177" i="1"/>
  <c r="D160" i="1"/>
  <c r="F181" i="1"/>
  <c r="H11" i="7"/>
  <c r="D182" i="1"/>
  <c r="P30" i="1"/>
  <c r="F172" i="1"/>
  <c r="D172" i="1"/>
  <c r="D166" i="1"/>
  <c r="D167" i="1"/>
  <c r="D184" i="1"/>
  <c r="D168" i="1"/>
  <c r="F190" i="1"/>
  <c r="D164" i="1"/>
  <c r="D156" i="1"/>
  <c r="D194" i="1"/>
  <c r="D185" i="1"/>
  <c r="D179" i="1"/>
  <c r="D195" i="1"/>
  <c r="D170" i="1"/>
  <c r="F178" i="1"/>
  <c r="D188" i="1"/>
  <c r="F189" i="1"/>
  <c r="F182" i="1"/>
  <c r="F169" i="1"/>
  <c r="F186" i="1"/>
  <c r="F159" i="1"/>
  <c r="F185" i="1"/>
  <c r="D183" i="1"/>
  <c r="D180" i="1"/>
  <c r="D197" i="1"/>
  <c r="F187" i="1"/>
  <c r="F161" i="1"/>
  <c r="F168" i="1"/>
  <c r="D159" i="1"/>
  <c r="D174" i="1"/>
  <c r="F174" i="1"/>
  <c r="D169" i="1"/>
  <c r="D189" i="1"/>
  <c r="D173" i="1"/>
  <c r="F166" i="1"/>
  <c r="D165" i="1"/>
  <c r="D191" i="1"/>
  <c r="F177" i="1"/>
  <c r="F173" i="1"/>
  <c r="F160" i="1"/>
  <c r="D162" i="1"/>
  <c r="F179" i="1"/>
  <c r="D161" i="1"/>
  <c r="D187" i="1"/>
  <c r="F167" i="1"/>
  <c r="D163" i="1"/>
  <c r="F164" i="1"/>
  <c r="F162" i="1"/>
  <c r="F194" i="1"/>
  <c r="F197" i="1"/>
  <c r="F171" i="1"/>
  <c r="D196" i="1"/>
  <c r="D171" i="1"/>
  <c r="D190" i="1"/>
  <c r="F191" i="1"/>
  <c r="D193" i="1"/>
  <c r="F193" i="1"/>
  <c r="D186" i="1"/>
  <c r="F165" i="1"/>
  <c r="D178" i="1"/>
  <c r="F183" i="1"/>
  <c r="F180" i="1"/>
  <c r="D192" i="1"/>
  <c r="F195" i="1"/>
  <c r="F188" i="1"/>
  <c r="F163" i="1"/>
  <c r="F192" i="1"/>
  <c r="F170" i="1"/>
  <c r="C134" i="1"/>
  <c r="B134" i="1"/>
  <c r="C132" i="1"/>
  <c r="B136" i="1"/>
  <c r="F128" i="7" l="1"/>
  <c r="D129" i="6"/>
  <c r="D130" i="6" s="1"/>
  <c r="E130" i="6" s="1"/>
  <c r="U20" i="7"/>
  <c r="K23" i="7"/>
  <c r="J92" i="7"/>
  <c r="O9" i="6"/>
  <c r="M24" i="6" s="1"/>
  <c r="K26" i="7"/>
  <c r="H31" i="6" l="1"/>
  <c r="I31" i="6"/>
  <c r="D128" i="6"/>
  <c r="E128" i="6" s="1"/>
  <c r="E129" i="6"/>
  <c r="C129" i="6"/>
  <c r="J86" i="7"/>
  <c r="U13" i="7"/>
  <c r="C128" i="6"/>
  <c r="C153" i="6" l="1"/>
  <c r="B192" i="6"/>
  <c r="B191" i="6"/>
  <c r="C154" i="6"/>
  <c r="I29" i="6"/>
  <c r="C157" i="6"/>
  <c r="C156" i="6" s="1"/>
  <c r="C151" i="6"/>
  <c r="H32" i="6"/>
  <c r="H29" i="6"/>
  <c r="B193" i="6"/>
  <c r="C152" i="6"/>
  <c r="I32" i="6"/>
  <c r="I30" i="6" l="1"/>
  <c r="I14" i="7"/>
  <c r="I47" i="7"/>
  <c r="S29" i="6"/>
  <c r="B194" i="6"/>
  <c r="H14" i="7"/>
  <c r="H30" i="6"/>
  <c r="H47" i="7"/>
  <c r="B190" i="6"/>
  <c r="H48" i="7" l="1"/>
  <c r="H15" i="7"/>
  <c r="S30" i="6"/>
  <c r="H33" i="6"/>
  <c r="I15" i="7"/>
  <c r="I4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M363040</author>
    <author>Léo Côme</author>
    <author>collectif</author>
  </authors>
  <commentList>
    <comment ref="M5" authorId="0" shapeId="0" xr:uid="{C00A2927-28AD-A644-9363-AEB0698AAD35}">
      <text>
        <r>
          <rPr>
            <sz val="8"/>
            <color rgb="FF000000"/>
            <rFont val="Tahoma"/>
            <family val="2"/>
          </rPr>
          <t xml:space="preserve">Définir les propriétés du 1er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1st diameter transition.
</t>
        </r>
        <r>
          <rPr>
            <i/>
            <sz val="8"/>
            <color rgb="FF000000"/>
            <rFont val="Tahoma"/>
            <family val="2"/>
          </rPr>
          <t>Leave this column blank if no skirt/shrink on the rocket.</t>
        </r>
      </text>
    </comment>
    <comment ref="O5" authorId="0" shapeId="0" xr:uid="{A6AA1789-92C0-7140-B69E-1B383ED6F936}">
      <text>
        <r>
          <rPr>
            <sz val="8"/>
            <color rgb="FF000000"/>
            <rFont val="Tahoma"/>
            <family val="2"/>
          </rPr>
          <t xml:space="preserve">Définir les propriétés du 2e changement de diamètre.
</t>
        </r>
        <r>
          <rPr>
            <sz val="8"/>
            <color rgb="FF000000"/>
            <rFont val="Tahoma"/>
            <family val="2"/>
          </rPr>
          <t xml:space="preserve">Laisser cette colonne vide si la fusée n'a pas de 2e Jupe ou Rétreint.
</t>
        </r>
        <r>
          <rPr>
            <i/>
            <sz val="8"/>
            <color rgb="FF000000"/>
            <rFont val="Tahoma"/>
            <family val="2"/>
          </rPr>
          <t xml:space="preserve">Set properties of the 2nd diameter transition.
</t>
        </r>
        <r>
          <rPr>
            <i/>
            <sz val="8"/>
            <color rgb="FF000000"/>
            <rFont val="Tahoma"/>
            <family val="2"/>
          </rPr>
          <t>Leave this column blank if no 2nd skirt/shrink on the rocket.</t>
        </r>
      </text>
    </comment>
    <comment ref="L6" authorId="1" shapeId="0" xr:uid="{9494616D-946E-B442-8557-DC8A1986DF1E}">
      <text>
        <r>
          <rPr>
            <b/>
            <sz val="8"/>
            <color indexed="8"/>
            <rFont val="Tahoma"/>
            <family val="2"/>
          </rPr>
          <t>Hauteur</t>
        </r>
        <r>
          <rPr>
            <sz val="8"/>
            <color indexed="8"/>
            <rFont val="Tahoma"/>
            <family val="2"/>
          </rPr>
          <t xml:space="preserve"> du changement de diamètre (cf. schéma sur fond bleu).
</t>
        </r>
        <r>
          <rPr>
            <i/>
            <sz val="8"/>
            <color indexed="8"/>
            <rFont val="Tahoma"/>
            <family val="2"/>
          </rPr>
          <t>Height of the tronconical transition (cf. blue schematic).</t>
        </r>
      </text>
    </comment>
    <comment ref="L7" authorId="1" shapeId="0" xr:uid="{BF1BE417-36BC-4F4F-93BB-8FE992761D7B}">
      <text>
        <r>
          <rPr>
            <sz val="8"/>
            <color indexed="8"/>
            <rFont val="Tahoma"/>
            <family val="2"/>
          </rPr>
          <t xml:space="preserve">Diamètre de la partie située </t>
        </r>
        <r>
          <rPr>
            <b/>
            <sz val="8"/>
            <color indexed="8"/>
            <rFont val="Tahoma"/>
            <family val="2"/>
          </rPr>
          <t>au dessus</t>
        </r>
        <r>
          <rPr>
            <sz val="8"/>
            <color indexed="8"/>
            <rFont val="Tahoma"/>
            <family val="2"/>
          </rPr>
          <t xml:space="preserve"> du changement de diamètre.
</t>
        </r>
        <r>
          <rPr>
            <i/>
            <sz val="8"/>
            <color indexed="8"/>
            <rFont val="Tahoma"/>
            <family val="2"/>
          </rPr>
          <t>Upper Diameter (cf. blue schematic).</t>
        </r>
      </text>
    </comment>
    <comment ref="L8" authorId="1" shapeId="0" xr:uid="{5DEDB60A-839F-2942-8F3B-65DF0E627593}">
      <text>
        <r>
          <rPr>
            <sz val="8"/>
            <color rgb="FF000000"/>
            <rFont val="Tahoma"/>
            <family val="2"/>
          </rPr>
          <t xml:space="preserve">Diamètre de la partie située </t>
        </r>
        <r>
          <rPr>
            <b/>
            <sz val="8"/>
            <color rgb="FF000000"/>
            <rFont val="Tahoma"/>
            <family val="2"/>
          </rPr>
          <t>en dessous</t>
        </r>
        <r>
          <rPr>
            <sz val="8"/>
            <color rgb="FF000000"/>
            <rFont val="Tahoma"/>
            <family val="2"/>
          </rPr>
          <t xml:space="preserve"> du changement de diamètre.
</t>
        </r>
        <r>
          <rPr>
            <i/>
            <sz val="8"/>
            <color rgb="FF000000"/>
            <rFont val="Tahoma"/>
            <family val="2"/>
          </rPr>
          <t>Lower Diameter (cf. blue schematic).</t>
        </r>
      </text>
    </comment>
    <comment ref="L9" authorId="0" shapeId="0" xr:uid="{B9E21278-845F-DB49-AFD0-8873114166F8}">
      <text>
        <r>
          <rPr>
            <sz val="8"/>
            <color rgb="FF000000"/>
            <rFont val="Tahoma"/>
            <family val="2"/>
          </rPr>
          <t xml:space="preserve">Distance entre la pointe de l'ogive et le haut du changement de diamètre.
</t>
        </r>
        <r>
          <rPr>
            <i/>
            <sz val="8"/>
            <color rgb="FF000000"/>
            <rFont val="Tahoma"/>
            <family val="2"/>
          </rPr>
          <t>Distance betwenn the tip of the nose cone and the top of the skirt/shrink.</t>
        </r>
      </text>
    </comment>
    <comment ref="B12" authorId="0" shapeId="0" xr:uid="{93B9D8F2-F1D4-754A-9B86-D9F96E761342}">
      <text>
        <r>
          <rPr>
            <sz val="8"/>
            <color indexed="8"/>
            <rFont val="Tahoma"/>
            <family val="2"/>
          </rPr>
          <t xml:space="preserve">Position du </t>
        </r>
        <r>
          <rPr>
            <b/>
            <sz val="8"/>
            <color indexed="8"/>
            <rFont val="Tahoma"/>
            <family val="2"/>
          </rPr>
          <t>Centre de Masse</t>
        </r>
        <r>
          <rPr>
            <sz val="8"/>
            <color indexed="8"/>
            <rFont val="Tahoma"/>
            <family val="2"/>
          </rPr>
          <t xml:space="preserve"> (CdG) par rapport à la pointe de l'ogive,
à mesurer ou estimer sur votre fusée.
</t>
        </r>
        <r>
          <rPr>
            <i/>
            <sz val="8"/>
            <color indexed="8"/>
            <rFont val="Tahoma"/>
            <family val="2"/>
          </rPr>
          <t>Position of Center of Mass (CoG) from the top of the nose cone.</t>
        </r>
      </text>
    </comment>
    <comment ref="S12" authorId="0" shapeId="0" xr:uid="{17012B0E-EF1A-9843-B1DF-359F94FF382D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haut</t>
        </r>
        <r>
          <rPr>
            <sz val="8"/>
            <color indexed="8"/>
            <rFont val="Tahoma"/>
            <family val="2"/>
          </rPr>
          <t xml:space="preserve"> du propulseur (hors ergot).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 xml:space="preserve">top </t>
        </r>
        <r>
          <rPr>
            <i/>
            <sz val="8"/>
            <color indexed="8"/>
            <rFont val="Tahoma"/>
            <family val="2"/>
          </rPr>
          <t>of the motor.</t>
        </r>
      </text>
    </comment>
    <comment ref="B13" authorId="0" shapeId="0" xr:uid="{4FA49E7D-56BC-9E43-806C-1BF8906AB4D4}">
      <text>
        <r>
          <rPr>
            <sz val="8"/>
            <color indexed="8"/>
            <rFont val="Tahoma"/>
            <family val="2"/>
          </rPr>
          <t xml:space="preserve">Longueur totale du fuselage avec l'ogive,
hors propu hors antenne hors ailerons.
</t>
        </r>
        <r>
          <rPr>
            <i/>
            <sz val="8"/>
            <color indexed="8"/>
            <rFont val="Tahoma"/>
            <family val="2"/>
          </rPr>
          <t>Total length of the body including nose cone.</t>
        </r>
      </text>
    </comment>
    <comment ref="L13" authorId="1" shapeId="0" xr:uid="{5F8F3942-F445-174F-8439-91838071B84C}">
      <text>
        <r>
          <rPr>
            <sz val="8"/>
            <color rgb="FF000000"/>
            <rFont val="Tahoma"/>
            <family val="2"/>
          </rPr>
          <t xml:space="preserve">Centre de Masse du propulseur par rapport au haut du propulseur.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Motor Center of Mass, mesured from top of motor.</t>
        </r>
      </text>
    </comment>
    <comment ref="B14" authorId="0" shapeId="0" xr:uid="{E33CA8B8-F7AC-FA44-ACFD-A3B88E56CBAD}">
      <text>
        <r>
          <rPr>
            <sz val="8"/>
            <color indexed="8"/>
            <rFont val="Tahoma"/>
            <family val="2"/>
          </rPr>
          <t xml:space="preserve">Diamètre de référence, utilisé pour calculer : Cnα, Finesse, Marge Statique.
Par défaut D_réf = D_ogive ; on peux écraser avec le diamètre "principal".
</t>
        </r>
        <r>
          <rPr>
            <i/>
            <sz val="8"/>
            <color indexed="8"/>
            <rFont val="Tahoma"/>
            <family val="2"/>
          </rPr>
          <t>Reference Diameter, used to compute: Cnα, Finesse, Static Margin.
By default D_ref = D_ogive ; one can overwrtie with the "main" diameter.</t>
        </r>
      </text>
    </comment>
    <comment ref="S14" authorId="0" shapeId="0" xr:uid="{9771AE04-BCAA-1843-84E4-3E93B936876B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L15" authorId="1" shapeId="0" xr:uid="{77FB2265-16FD-E24C-8FB2-555066695152}">
      <text>
        <r>
          <rPr>
            <sz val="8"/>
            <color indexed="8"/>
            <rFont val="Tahoma"/>
            <family val="2"/>
          </rPr>
          <t xml:space="preserve">Les positions des </t>
        </r>
        <r>
          <rPr>
            <sz val="8"/>
            <color indexed="12"/>
            <rFont val="Tahoma"/>
            <family val="2"/>
          </rPr>
          <t>Centres de Masse</t>
        </r>
        <r>
          <rPr>
            <sz val="8"/>
            <color indexed="8"/>
            <rFont val="Tahoma"/>
            <family val="2"/>
          </rPr>
          <t xml:space="preserve"> de la fusée avec propulseur plein et vide
sont représentées sur le schéma de la fusée par un </t>
        </r>
        <r>
          <rPr>
            <sz val="8"/>
            <color indexed="12"/>
            <rFont val="Tahoma"/>
            <family val="2"/>
          </rPr>
          <t>segment vertical bleu</t>
        </r>
        <r>
          <rPr>
            <sz val="8"/>
            <color indexed="8"/>
            <rFont val="Tahoma"/>
            <family val="2"/>
          </rPr>
          <t xml:space="preserve">.
</t>
        </r>
        <r>
          <rPr>
            <i/>
            <sz val="8"/>
            <color indexed="8"/>
            <rFont val="Tahoma"/>
            <family val="2"/>
          </rPr>
          <t xml:space="preserve">Rocket Center of Mass are shown whith a </t>
        </r>
        <r>
          <rPr>
            <i/>
            <sz val="8"/>
            <color indexed="12"/>
            <rFont val="Tahoma"/>
            <family val="2"/>
          </rPr>
          <t>blue segment</t>
        </r>
        <r>
          <rPr>
            <i/>
            <sz val="8"/>
            <color indexed="8"/>
            <rFont val="Tahoma"/>
            <family val="2"/>
          </rPr>
          <t xml:space="preserve"> in Rocket schematic.</t>
        </r>
      </text>
    </comment>
    <comment ref="S17" authorId="0" shapeId="0" xr:uid="{A3B3DE31-4F01-D643-9CA1-CB4088A49390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supérieur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upper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18" authorId="0" shapeId="0" xr:uid="{0F920BCD-C82D-954A-94F1-2361D22729B0}">
      <text>
        <r>
          <rPr>
            <sz val="8"/>
            <color indexed="8"/>
            <rFont val="Tahoma"/>
            <family val="2"/>
          </rPr>
          <t xml:space="preserve">Distance entre la pointe de l'ogive et le </t>
        </r>
        <r>
          <rPr>
            <b/>
            <sz val="8"/>
            <color indexed="8"/>
            <rFont val="Tahoma"/>
            <family val="2"/>
          </rPr>
          <t>bas</t>
        </r>
        <r>
          <rPr>
            <sz val="8"/>
            <color indexed="8"/>
            <rFont val="Tahoma"/>
            <family val="2"/>
          </rPr>
          <t xml:space="preserve"> du propulseur (hors tuyère).
</t>
        </r>
        <r>
          <rPr>
            <i/>
            <sz val="8"/>
            <color indexed="8"/>
            <rFont val="Tahoma"/>
            <family val="2"/>
          </rPr>
          <t xml:space="preserve">Distance between the tip of the nose cone and the </t>
        </r>
        <r>
          <rPr>
            <b/>
            <i/>
            <sz val="8"/>
            <color indexed="8"/>
            <rFont val="Tahoma"/>
            <family val="2"/>
          </rPr>
          <t>bottom</t>
        </r>
        <r>
          <rPr>
            <i/>
            <sz val="8"/>
            <color indexed="8"/>
            <rFont val="Tahoma"/>
            <family val="2"/>
          </rPr>
          <t xml:space="preserve"> of the motor.</t>
        </r>
      </text>
    </comment>
    <comment ref="S18" authorId="1" shapeId="0" xr:uid="{5F2A6216-87B8-0542-B5F8-A4032ADCA197}">
      <text>
        <r>
          <rPr>
            <sz val="8"/>
            <color indexed="8"/>
            <rFont val="Tahoma"/>
            <family val="2"/>
          </rPr>
          <t>Longueur de l'</t>
        </r>
        <r>
          <rPr>
            <b/>
            <sz val="8"/>
            <color indexed="8"/>
            <rFont val="Tahoma"/>
            <family val="2"/>
          </rPr>
          <t>e</t>
        </r>
        <r>
          <rPr>
            <b/>
            <u/>
            <sz val="8"/>
            <color indexed="8"/>
            <rFont val="Tahoma"/>
            <family val="2"/>
          </rPr>
          <t>m</t>
        </r>
        <r>
          <rPr>
            <b/>
            <sz val="8"/>
            <color indexed="8"/>
            <rFont val="Tahoma"/>
            <family val="2"/>
          </rPr>
          <t>planture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Root edge length of one fin.</t>
        </r>
      </text>
    </comment>
    <comment ref="S19" authorId="0" shapeId="0" xr:uid="{8941FE23-B4BF-C949-9C68-31E6A55C4E9B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inférieur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lower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23" authorId="0" shapeId="0" xr:uid="{2D96FE34-E224-E445-81B5-AD90567BAB2C}">
      <text>
        <r>
          <rPr>
            <sz val="8"/>
            <color indexed="8"/>
            <rFont val="Tahoma"/>
            <family val="2"/>
          </rPr>
          <t xml:space="preserve">Diamètre à la base de l'ogive.
</t>
        </r>
        <r>
          <rPr>
            <i/>
            <sz val="8"/>
            <color indexed="8"/>
            <rFont val="Tahoma"/>
            <family val="2"/>
          </rPr>
          <t>Diameter at the basement of the nose cone.</t>
        </r>
      </text>
    </comment>
    <comment ref="E25" authorId="1" shapeId="0" xr:uid="{25D7A4C6-52B4-4442-9436-BD0007416A30}">
      <text>
        <r>
          <rPr>
            <sz val="8"/>
            <color rgb="FF000000"/>
            <rFont val="Tahoma"/>
            <family val="2"/>
          </rPr>
          <t xml:space="preserve">Les parties masquées des ailerons du bas sont représentées 
</t>
        </r>
        <r>
          <rPr>
            <sz val="8"/>
            <color rgb="FF000000"/>
            <rFont val="Tahoma"/>
            <family val="2"/>
          </rPr>
          <t xml:space="preserve">sur le schéma de la fusée par des </t>
        </r>
        <r>
          <rPr>
            <sz val="8"/>
            <color rgb="FFFF0000"/>
            <rFont val="Tahoma"/>
            <family val="2"/>
          </rPr>
          <t>zones en rouge</t>
        </r>
        <r>
          <rPr>
            <sz val="8"/>
            <color rgb="FF000000"/>
            <rFont val="Tahoma"/>
            <family val="2"/>
          </rPr>
          <t xml:space="preserve">.
</t>
        </r>
        <r>
          <rPr>
            <sz val="8"/>
            <color rgb="FF000000"/>
            <rFont val="Tahoma"/>
            <family val="2"/>
          </rPr>
          <t xml:space="preserve">Ce sont les parties situées juste en dessous des ailerons du haut.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The fin-fin interaction zone is located just below the upper fins,
</t>
        </r>
        <r>
          <rPr>
            <i/>
            <sz val="8"/>
            <color rgb="FF000000"/>
            <rFont val="Tahoma"/>
            <family val="2"/>
          </rPr>
          <t xml:space="preserve">shown in </t>
        </r>
        <r>
          <rPr>
            <i/>
            <sz val="8"/>
            <color rgb="FFFF0000"/>
            <rFont val="Tahoma"/>
            <family val="2"/>
          </rPr>
          <t>red</t>
        </r>
        <r>
          <rPr>
            <i/>
            <sz val="8"/>
            <color rgb="FF000000"/>
            <rFont val="Tahoma"/>
            <family val="2"/>
          </rPr>
          <t xml:space="preserve"> in the Rocket schematic.</t>
        </r>
      </text>
    </comment>
    <comment ref="B27" authorId="1" shapeId="0" xr:uid="{7A7DBE3F-C2FD-834A-8083-DB54344A9435}">
      <text>
        <r>
          <rPr>
            <sz val="8"/>
            <color indexed="8"/>
            <rFont val="Tahoma"/>
            <family val="2"/>
          </rPr>
          <t>Longueur de l'</t>
        </r>
        <r>
          <rPr>
            <b/>
            <sz val="8"/>
            <color indexed="8"/>
            <rFont val="Tahoma"/>
            <family val="2"/>
          </rPr>
          <t>e</t>
        </r>
        <r>
          <rPr>
            <b/>
            <u/>
            <sz val="8"/>
            <color indexed="8"/>
            <rFont val="Tahoma"/>
            <family val="2"/>
          </rPr>
          <t>m</t>
        </r>
        <r>
          <rPr>
            <b/>
            <sz val="8"/>
            <color indexed="8"/>
            <rFont val="Tahoma"/>
            <family val="2"/>
          </rPr>
          <t>planture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Root edge length of one fin.</t>
        </r>
      </text>
    </comment>
    <comment ref="F27" authorId="0" shapeId="0" xr:uid="{96020000-14E1-FC4A-90AC-E9CB315AF809}">
      <text>
        <r>
          <rPr>
            <sz val="8"/>
            <color rgb="FF000000"/>
            <rFont val="Tahoma"/>
            <family val="2"/>
          </rPr>
          <t xml:space="preserve">La </t>
        </r>
        <r>
          <rPr>
            <b/>
            <sz val="8"/>
            <color rgb="FF000000"/>
            <rFont val="Tahoma"/>
            <family val="2"/>
          </rPr>
          <t>Finesse</t>
        </r>
        <r>
          <rPr>
            <sz val="8"/>
            <color rgb="FF000000"/>
            <rFont val="Tahoma"/>
            <family val="2"/>
          </rPr>
          <t xml:space="preserve"> représente l'allongement de la fusée, rapport Longueur/Diamètre.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Finesse represents the relative length of the rocket. Finesse = L/D</t>
        </r>
      </text>
    </comment>
    <comment ref="B28" authorId="1" shapeId="0" xr:uid="{40659EAD-CC7E-5F49-830F-D98AC90E82BB}">
      <text>
        <r>
          <rPr>
            <sz val="8"/>
            <color indexed="8"/>
            <rFont val="Tahoma"/>
            <family val="2"/>
          </rPr>
          <t xml:space="preserve">Longueur du </t>
        </r>
        <r>
          <rPr>
            <b/>
            <sz val="8"/>
            <color indexed="8"/>
            <rFont val="Tahoma"/>
            <family val="2"/>
          </rPr>
          <t>saumo</t>
        </r>
        <r>
          <rPr>
            <b/>
            <u/>
            <sz val="8"/>
            <color indexed="8"/>
            <rFont val="Tahoma"/>
            <family val="2"/>
          </rPr>
          <t>n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Tip edge length of one fin.</t>
        </r>
      </text>
    </comment>
    <comment ref="F28" authorId="0" shapeId="0" xr:uid="{D8B8A397-00D3-5C49-A28E-C9173F1C4ADF}">
      <text>
        <r>
          <rPr>
            <sz val="8"/>
            <color rgb="FF000000"/>
            <rFont val="Tahoma"/>
            <family val="2"/>
          </rPr>
          <t xml:space="preserve">Le gradient de </t>
        </r>
        <r>
          <rPr>
            <b/>
            <sz val="8"/>
            <color rgb="FF800000"/>
            <rFont val="Tahoma"/>
            <family val="2"/>
          </rPr>
          <t>Portance</t>
        </r>
        <r>
          <rPr>
            <sz val="8"/>
            <color rgb="FF000000"/>
            <rFont val="Tahoma"/>
            <family val="2"/>
          </rPr>
          <t xml:space="preserve"> Cnα indique l'efficacité des ailerons.
</t>
        </r>
        <r>
          <rPr>
            <sz val="8"/>
            <color rgb="FF000000"/>
            <rFont val="Tahoma"/>
            <family val="2"/>
          </rPr>
          <t xml:space="preserve">Pour l'augmenter, il faut augmenter la taille des ailerons, et inversement.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800000"/>
            <rFont val="Tahoma"/>
            <family val="2"/>
          </rPr>
          <t>Lift</t>
        </r>
        <r>
          <rPr>
            <i/>
            <sz val="8"/>
            <color rgb="FF000000"/>
            <rFont val="Tahoma"/>
            <family val="2"/>
          </rPr>
          <t xml:space="preserve"> gradient, Cnα, represents the fins efficiency. 
</t>
        </r>
        <r>
          <rPr>
            <i/>
            <sz val="8"/>
            <color rgb="FF000000"/>
            <rFont val="Tahoma"/>
            <family val="2"/>
          </rPr>
          <t>To increase it, one must increase the size of the fins, and conversely.</t>
        </r>
      </text>
    </comment>
    <comment ref="B29" authorId="1" shapeId="0" xr:uid="{07155E5E-E112-FE41-A781-560BEF48D273}">
      <text>
        <r>
          <rPr>
            <b/>
            <sz val="8"/>
            <color indexed="8"/>
            <rFont val="Tahoma"/>
            <family val="2"/>
          </rPr>
          <t>Flèche</t>
        </r>
        <r>
          <rPr>
            <sz val="8"/>
            <color indexed="8"/>
            <rFont val="Tahoma"/>
            <family val="2"/>
          </rPr>
          <t xml:space="preserve"> du bord d'attaque (négatif si besoin).
</t>
        </r>
        <r>
          <rPr>
            <i/>
            <sz val="8"/>
            <color indexed="8"/>
            <rFont val="Tahoma"/>
            <family val="2"/>
          </rPr>
          <t>Offset of the Leading edge.</t>
        </r>
      </text>
    </comment>
    <comment ref="F29" authorId="0" shapeId="0" xr:uid="{2AA6E193-FECD-C543-9961-A945D610E218}">
      <text>
        <r>
          <rPr>
            <sz val="8"/>
            <color rgb="FF000000"/>
            <rFont val="Tahoma"/>
            <family val="2"/>
          </rPr>
          <t xml:space="preserve">La </t>
        </r>
        <r>
          <rPr>
            <b/>
            <sz val="8"/>
            <color rgb="FF000000"/>
            <rFont val="Tahoma"/>
            <family val="2"/>
          </rPr>
          <t>Marge Statique</t>
        </r>
        <r>
          <rPr>
            <sz val="8"/>
            <color rgb="FF000000"/>
            <rFont val="Tahoma"/>
            <family val="2"/>
          </rPr>
          <t xml:space="preserve">, MS,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nombre de Diamètre de Référence, pour une fusée avec propulseur plein puis vide.
</t>
        </r>
        <r>
          <rPr>
            <sz val="8"/>
            <color rgb="FF000000"/>
            <rFont val="Tahoma"/>
            <family val="2"/>
          </rPr>
          <t xml:space="preserve">Pour augmenter la MS, il faut soit :
</t>
        </r>
        <r>
          <rPr>
            <sz val="8"/>
            <color rgb="FF000000"/>
            <rFont val="Tahoma"/>
            <family val="2"/>
          </rPr>
          <t xml:space="preserve">- abaisser le Centre de Portance (position des ailerons)
</t>
        </r>
        <r>
          <rPr>
            <sz val="8"/>
            <color rgb="FF000000"/>
            <rFont val="Tahoma"/>
            <family val="2"/>
          </rPr>
          <t xml:space="preserve">- rehausser le Centre de Masse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Static Margin, MS,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 xml:space="preserve">measured in number of reference diameter, for a rocket with loaded motor, then empty motor.
</t>
        </r>
        <r>
          <rPr>
            <i/>
            <sz val="8"/>
            <color rgb="FF000000"/>
            <rFont val="Tahoma"/>
            <family val="2"/>
          </rPr>
          <t xml:space="preserve">In order to increase MS, one must either:
</t>
        </r>
        <r>
          <rPr>
            <i/>
            <sz val="8"/>
            <color rgb="FF000000"/>
            <rFont val="Tahoma"/>
            <family val="2"/>
          </rPr>
          <t xml:space="preserve">- lower the Center of Pressure (position of fins)
</t>
        </r>
        <r>
          <rPr>
            <i/>
            <sz val="8"/>
            <color rgb="FF000000"/>
            <rFont val="Tahoma"/>
            <family val="2"/>
          </rPr>
          <t>- Move up the Center of Mass</t>
        </r>
      </text>
    </comment>
    <comment ref="B30" authorId="1" shapeId="0" xr:uid="{690D3A76-7707-E745-86AD-9ABB7229996E}">
      <text>
        <r>
          <rPr>
            <b/>
            <u/>
            <sz val="8"/>
            <color indexed="8"/>
            <rFont val="Tahoma"/>
            <family val="2"/>
          </rPr>
          <t>E</t>
        </r>
        <r>
          <rPr>
            <b/>
            <sz val="8"/>
            <color indexed="8"/>
            <rFont val="Tahoma"/>
            <family val="2"/>
          </rPr>
          <t>nvergure</t>
        </r>
        <r>
          <rPr>
            <sz val="8"/>
            <color indexed="8"/>
            <rFont val="Tahoma"/>
            <family val="2"/>
          </rPr>
          <t xml:space="preserve"> d'un aileron.
</t>
        </r>
        <r>
          <rPr>
            <i/>
            <sz val="8"/>
            <color indexed="8"/>
            <rFont val="Tahoma"/>
            <family val="2"/>
          </rPr>
          <t>Span of one fin.</t>
        </r>
      </text>
    </comment>
    <comment ref="F30" authorId="0" shapeId="0" xr:uid="{DB3E3AE2-0048-2A40-940A-E6C95A7BAC76}">
      <text>
        <r>
          <rPr>
            <sz val="8"/>
            <color rgb="FF000000"/>
            <rFont val="Tahoma"/>
            <family val="2"/>
          </rPr>
          <t xml:space="preserve">Le </t>
        </r>
        <r>
          <rPr>
            <b/>
            <sz val="8"/>
            <color rgb="FF000000"/>
            <rFont val="Tahoma"/>
            <family val="2"/>
          </rPr>
          <t>produit</t>
        </r>
        <r>
          <rPr>
            <sz val="8"/>
            <color rgb="FF000000"/>
            <rFont val="Tahoma"/>
            <family val="2"/>
          </rPr>
          <t xml:space="preserve"> MS*Cnα représente le </t>
        </r>
        <r>
          <rPr>
            <b/>
            <sz val="8"/>
            <color rgb="FF000000"/>
            <rFont val="Tahoma"/>
            <family val="2"/>
          </rPr>
          <t>couple</t>
        </r>
        <r>
          <rPr>
            <sz val="8"/>
            <color rgb="FF000000"/>
            <rFont val="Tahoma"/>
            <family val="2"/>
          </rPr>
          <t xml:space="preserve"> de rappel de la Portance.
</t>
        </r>
        <r>
          <rPr>
            <sz val="8"/>
            <color rgb="FF000000"/>
            <rFont val="Tahoma"/>
            <family val="2"/>
          </rPr>
          <t xml:space="preserve">Pour augmenter le produit, il faut augmenter la MS et/ou le Cnα, et inversement.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The product MS*Cnα represents the lift torque.
</t>
        </r>
        <r>
          <rPr>
            <i/>
            <sz val="8"/>
            <color rgb="FF000000"/>
            <rFont val="Tahoma"/>
            <family val="2"/>
          </rPr>
          <t>To increase it, one must increase the Static Margin and/or the Cnα, and conversely.</t>
        </r>
      </text>
    </comment>
    <comment ref="F31" authorId="0" shapeId="0" xr:uid="{2060A76E-40C6-4B44-BD75-3384A5CAABE3}">
      <text>
        <r>
          <rPr>
            <sz val="8"/>
            <color indexed="8"/>
            <rFont val="Tahoma"/>
            <family val="2"/>
          </rPr>
          <t xml:space="preserve">Le Xcp est la </t>
        </r>
        <r>
          <rPr>
            <b/>
            <sz val="8"/>
            <color indexed="16"/>
            <rFont val="Tahoma"/>
            <family val="2"/>
          </rPr>
          <t>position du Centre de Poussée Aérodynamique</t>
        </r>
        <r>
          <rPr>
            <sz val="8"/>
            <color indexed="8"/>
            <rFont val="Tahoma"/>
            <family val="2"/>
          </rPr>
          <t xml:space="preserve"> (CPA), 
aussi appelé Centre de Pression (CP), Centre Latéral de Poussée (CLP), 
ou Foyer, exprimée par rapport à la pointe de l'ogive.
</t>
        </r>
        <r>
          <rPr>
            <i/>
            <sz val="8"/>
            <color indexed="8"/>
            <rFont val="Tahoma"/>
            <family val="2"/>
          </rPr>
          <t>Xcp is the location of the Aerodynamics Center of Pressure, 
measured from the tip of the nose cone.</t>
        </r>
      </text>
    </comment>
    <comment ref="F32" authorId="2" shapeId="0" xr:uid="{A13EDA9E-DFC5-6342-82F7-D970832138FC}">
      <text>
        <r>
          <rPr>
            <sz val="8"/>
            <color rgb="FF000000"/>
            <rFont val="Tahoma"/>
            <family val="2"/>
          </rPr>
          <t xml:space="preserve">Cette Marge Statique est la distance entre le Centre de Masse et le Centre de Pression, 
</t>
        </r>
        <r>
          <rPr>
            <sz val="8"/>
            <color rgb="FF000000"/>
            <rFont val="Tahoma"/>
            <family val="2"/>
          </rPr>
          <t xml:space="preserve">exprimée en </t>
        </r>
        <r>
          <rPr>
            <b/>
            <sz val="8"/>
            <color rgb="FF000000"/>
            <rFont val="Tahoma"/>
            <family val="2"/>
          </rPr>
          <t>% de la Longueur</t>
        </r>
        <r>
          <rPr>
            <sz val="8"/>
            <color rgb="FF000000"/>
            <rFont val="Tahoma"/>
            <family val="2"/>
          </rPr>
          <t xml:space="preserve"> de la fusée, pour une fusée avec propulseur plein puis vide.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This Static Margin is the distance between the Center of Mass and the Center of Pressure, 
</t>
        </r>
        <r>
          <rPr>
            <i/>
            <sz val="8"/>
            <color rgb="FF000000"/>
            <rFont val="Tahoma"/>
            <family val="2"/>
          </rPr>
          <t>measured in % of rocket length, for a rocket with loaded motor, then empty motor.</t>
        </r>
      </text>
    </comment>
    <comment ref="B33" authorId="0" shapeId="0" xr:uid="{1D42BD02-8CA3-D84F-A862-FC9D20D1F4BA}">
      <text>
        <r>
          <rPr>
            <sz val="8"/>
            <color indexed="8"/>
            <rFont val="Tahoma"/>
            <family val="2"/>
          </rPr>
          <t xml:space="preserve">Distance entre la pointe de l'ogive et le point </t>
        </r>
        <r>
          <rPr>
            <b/>
            <sz val="8"/>
            <color indexed="8"/>
            <rFont val="Tahoma"/>
            <family val="2"/>
          </rPr>
          <t>inférieur</t>
        </r>
        <r>
          <rPr>
            <sz val="8"/>
            <color indexed="8"/>
            <rFont val="Tahoma"/>
            <family val="2"/>
          </rPr>
          <t xml:space="preserve"> de l'encastrement des ailerons.
</t>
        </r>
        <r>
          <rPr>
            <i/>
            <sz val="8"/>
            <color indexed="8"/>
            <rFont val="Tahoma"/>
            <family val="2"/>
          </rPr>
          <t xml:space="preserve">Distance between the tip of the nose and the </t>
        </r>
        <r>
          <rPr>
            <b/>
            <i/>
            <sz val="8"/>
            <color indexed="8"/>
            <rFont val="Tahoma"/>
            <family val="2"/>
          </rPr>
          <t>lower</t>
        </r>
        <r>
          <rPr>
            <i/>
            <sz val="8"/>
            <color indexed="8"/>
            <rFont val="Tahoma"/>
            <family val="2"/>
          </rPr>
          <t xml:space="preserve"> point of fins attachment on the rocket.</t>
        </r>
      </text>
    </comment>
    <comment ref="B34" authorId="0" shapeId="0" xr:uid="{A62E82D4-433C-F54F-9A80-65075C3AAD7D}">
      <text>
        <r>
          <rPr>
            <sz val="8"/>
            <color indexed="8"/>
            <rFont val="Tahoma"/>
            <family val="2"/>
          </rPr>
          <t xml:space="preserve">Diamètre du fuselage au niveau des ailerons.
</t>
        </r>
        <r>
          <rPr>
            <i/>
            <sz val="8"/>
            <color indexed="8"/>
            <rFont val="Tahoma"/>
            <family val="2"/>
          </rPr>
          <t>Diameter of the body at the level of the fins.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Léo Côme</author>
    <author>Léo</author>
    <author>Sylvain Besson</author>
    <author>collectif</author>
  </authors>
  <commentList>
    <comment ref="B10" authorId="0" shapeId="0" xr:uid="{15384CFA-AE50-EC45-8956-D4F4E799CB4F}">
      <text>
        <r>
          <rPr>
            <sz val="8"/>
            <color indexed="8"/>
            <rFont val="Tahoma"/>
            <family val="2"/>
          </rPr>
          <t xml:space="preserve">Masse au décollage,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Lift-Off mass, to be changed in Stabilito sheet,
or with the buttons (then recheck stability).</t>
        </r>
      </text>
    </comment>
    <comment ref="B11" authorId="0" shapeId="0" xr:uid="{7793ACB5-563F-C14C-AE40-D36012718F07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4" authorId="1" shapeId="0" xr:uid="{45581668-9BF5-8147-A37D-825CBA28CDD3}">
      <text>
        <r>
          <rPr>
            <sz val="8"/>
            <color indexed="8"/>
            <rFont val="Tahoma"/>
            <family val="2"/>
          </rPr>
          <t xml:space="preserve">La Surface de Référence utilisée pour le calcul de la Traînée est la surface projetée dans l'axe de la fusée. Ce </t>
        </r>
        <r>
          <rPr>
            <b/>
            <sz val="8"/>
            <color indexed="8"/>
            <rFont val="Tahoma"/>
            <family val="2"/>
          </rPr>
          <t>Maître Couple</t>
        </r>
        <r>
          <rPr>
            <sz val="8"/>
            <color indexed="8"/>
            <rFont val="Tahoma"/>
            <family val="2"/>
          </rPr>
          <t xml:space="preserve"> inclut donc l'épaisseur des ailerons.
</t>
        </r>
        <r>
          <rPr>
            <i/>
            <sz val="8"/>
            <color indexed="8"/>
            <rFont val="Tahoma"/>
            <family val="2"/>
          </rPr>
          <t>Reference Surface used to compute the Drag. It includes Fin thickness.</t>
        </r>
      </text>
    </comment>
    <comment ref="B15" authorId="1" shapeId="0" xr:uid="{40FABB24-6C4E-264B-A224-46A34B8EBB76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  <comment ref="B18" authorId="1" shapeId="0" xr:uid="{F6F856DB-B077-E540-8D7B-892EB7794A98}">
      <text>
        <r>
          <rPr>
            <b/>
            <sz val="8"/>
            <color indexed="8"/>
            <rFont val="Tahoma"/>
            <family val="2"/>
          </rPr>
          <t>Longueur de la rampe de lancement.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i/>
            <sz val="8"/>
            <color indexed="8"/>
            <rFont val="Tahoma"/>
            <family val="2"/>
          </rPr>
          <t xml:space="preserve">                                          Length of the launch pad.</t>
        </r>
        <r>
          <rPr>
            <sz val="8"/>
            <color indexed="8"/>
            <rFont val="Tahoma"/>
            <family val="2"/>
          </rPr>
          <t xml:space="preserve">
Valeurs courantes :                  </t>
        </r>
        <r>
          <rPr>
            <i/>
            <sz val="8"/>
            <color indexed="8"/>
            <rFont val="Tahoma"/>
            <family val="2"/>
          </rPr>
          <t>Average values :</t>
        </r>
        <r>
          <rPr>
            <sz val="8"/>
            <color indexed="8"/>
            <rFont val="Tahoma"/>
            <family val="2"/>
          </rPr>
          <t xml:space="preserve">
MicroFusée                  : 1m  :    </t>
        </r>
        <r>
          <rPr>
            <i/>
            <sz val="8"/>
            <color indexed="8"/>
            <rFont val="Tahoma"/>
            <family val="2"/>
          </rPr>
          <t>Micro-rocket</t>
        </r>
        <r>
          <rPr>
            <sz val="8"/>
            <color indexed="8"/>
            <rFont val="Tahoma"/>
            <family val="2"/>
          </rPr>
          <t xml:space="preserve">
MiniFusée                    : 2m5:   </t>
        </r>
        <r>
          <rPr>
            <i/>
            <sz val="8"/>
            <color indexed="8"/>
            <rFont val="Tahoma"/>
            <family val="2"/>
          </rPr>
          <t xml:space="preserve"> Mini-rocket
Rocketry Challenge    </t>
        </r>
        <r>
          <rPr>
            <sz val="8"/>
            <color indexed="8"/>
            <rFont val="Tahoma"/>
            <family val="2"/>
          </rPr>
          <t xml:space="preserve">: 3m
Fusée Expérimentale  : 4m  :   </t>
        </r>
        <r>
          <rPr>
            <i/>
            <sz val="8"/>
            <color indexed="8"/>
            <rFont val="Tahoma"/>
            <family val="2"/>
          </rPr>
          <t>Experimental Rocket</t>
        </r>
      </text>
    </comment>
    <comment ref="B19" authorId="1" shapeId="0" xr:uid="{410EB2A1-05D7-0C44-A8E3-5AD1648CAEAD}">
      <text>
        <r>
          <rPr>
            <sz val="8"/>
            <color indexed="8"/>
            <rFont val="Tahoma"/>
            <family val="2"/>
          </rPr>
          <t xml:space="preserve">Elévation de la rampe, angle par rapport à l'horizontale, "site" de la rampe, par défaut cet angle est à 80°.
</t>
        </r>
        <r>
          <rPr>
            <i/>
            <sz val="8"/>
            <color indexed="8"/>
            <rFont val="Tahoma"/>
            <family val="2"/>
          </rPr>
          <t>Angle of the lauch pad versus horizontal.</t>
        </r>
      </text>
    </comment>
    <comment ref="B20" authorId="1" shapeId="0" xr:uid="{CACCC701-E118-1344-8D11-6F899D4B1E33}">
      <text>
        <r>
          <rPr>
            <sz val="8"/>
            <color indexed="8"/>
            <rFont val="Tahoma"/>
            <family val="2"/>
          </rPr>
          <t xml:space="preserve">L'Altitude de la rampe est utilisée pour calculer la densité de l'air.
</t>
        </r>
        <r>
          <rPr>
            <i/>
            <sz val="8"/>
            <color indexed="8"/>
            <rFont val="Tahoma"/>
            <family val="2"/>
          </rPr>
          <t>Launch Pad Altitude is used to compute the air density.</t>
        </r>
      </text>
    </comment>
    <comment ref="D23" authorId="2" shapeId="0" xr:uid="{B18CBBCB-629E-3D4F-81A4-B315A4BC536B}">
      <text>
        <r>
          <rPr>
            <b/>
            <sz val="8"/>
            <color indexed="8"/>
            <rFont val="Tahoma"/>
            <family val="2"/>
          </rPr>
          <t>Objet largué</t>
        </r>
        <r>
          <rPr>
            <sz val="8"/>
            <color indexed="8"/>
            <rFont val="Tahoma"/>
            <family val="2"/>
          </rPr>
          <t xml:space="preserve"> (CanSat, quasi-satellite, partie contenant l'œuf...)
</t>
        </r>
        <r>
          <rPr>
            <i/>
            <sz val="8"/>
            <color indexed="8"/>
            <rFont val="Tahoma"/>
            <family val="2"/>
          </rPr>
          <t>Separated object (CanSat, quasi-satellite, payload/egg...)</t>
        </r>
      </text>
    </comment>
    <comment ref="K23" authorId="1" shapeId="0" xr:uid="{5D3388C4-0B4A-304D-916C-2A9A38115A36}">
      <text>
        <r>
          <rPr>
            <sz val="8"/>
            <color rgb="FF000000"/>
            <rFont val="Tahoma"/>
            <family val="2"/>
          </rPr>
          <t xml:space="preserve">La Vitesse en Sortie de Rampe doit être supérieure à 18m/s (MiniFusée) ou 20m/s (Fusée Exp.).
</t>
        </r>
        <r>
          <rPr>
            <sz val="8"/>
            <color rgb="FF000000"/>
            <rFont val="Tahoma"/>
            <family val="2"/>
          </rPr>
          <t xml:space="preserve">Alléger la fusée ou choisir un propu plus puissant.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 xml:space="preserve">Speed at Launch Pad Exit must by higher than 18m/s (mini-rocket) or 20m/s (experimental rocket).
</t>
        </r>
        <r>
          <rPr>
            <i/>
            <sz val="8"/>
            <color rgb="FF000000"/>
            <rFont val="Tahoma"/>
            <family val="2"/>
          </rPr>
          <t>Lighten the rocket or choose a bigger motor.</t>
        </r>
      </text>
    </comment>
    <comment ref="C24" authorId="2" shapeId="0" xr:uid="{83A39B17-3C6C-F54C-B142-67AFDE99C6BD}">
      <text>
        <r>
          <rPr>
            <sz val="8"/>
            <color indexed="8"/>
            <rFont val="Tahoma"/>
            <family val="2"/>
          </rPr>
          <t xml:space="preserve">Masse de la fusée (sans satellite) sous parachute.
</t>
        </r>
        <r>
          <rPr>
            <i/>
            <sz val="8"/>
            <color indexed="8"/>
            <rFont val="Tahoma"/>
            <family val="2"/>
          </rPr>
          <t>Mass of the rocket (w/o sat) when it fall with a parachute.</t>
        </r>
      </text>
    </comment>
    <comment ref="M27" authorId="3" shapeId="0" xr:uid="{F98FD256-335A-884D-892A-C0FC5DB698E0}">
      <text>
        <r>
          <rPr>
            <sz val="8"/>
            <color indexed="81"/>
            <rFont val="Tahoma"/>
            <family val="2"/>
          </rPr>
          <t xml:space="preserve">Efforts sur les fixations du parachute lors de sont ouverture.
</t>
        </r>
        <r>
          <rPr>
            <i/>
            <sz val="8"/>
            <color indexed="81"/>
            <rFont val="Tahoma"/>
            <family val="2"/>
          </rPr>
          <t>Stress on the parachute's bindings when it opened.</t>
        </r>
      </text>
    </comment>
    <comment ref="B28" authorId="1" shapeId="0" xr:uid="{DA1E166D-9ACD-E643-BBB1-901B2DECE888}">
      <text>
        <r>
          <rPr>
            <sz val="8"/>
            <color indexed="8"/>
            <rFont val="Tahoma"/>
            <family val="2"/>
          </rPr>
          <t xml:space="preserve">Le Coefficient de Traînée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(ou Cd) d'un parachute est généralement compris entre 0.7 et 1.4 (1 par défaut).
</t>
        </r>
        <r>
          <rPr>
            <i/>
            <sz val="8"/>
            <color indexed="8"/>
            <rFont val="Tahoma"/>
            <family val="2"/>
          </rPr>
          <t xml:space="preserve">Parachute Drag Coefficient </t>
        </r>
        <r>
          <rPr>
            <b/>
            <i/>
            <sz val="8"/>
            <color indexed="8"/>
            <rFont val="Tahoma"/>
            <family val="2"/>
          </rPr>
          <t>Cx</t>
        </r>
        <r>
          <rPr>
            <i/>
            <sz val="8"/>
            <color indexed="8"/>
            <rFont val="Tahoma"/>
            <family val="2"/>
          </rPr>
          <t xml:space="preserve"> (or Cd) should be between 0.7 and 1.4, with a default value of 1.</t>
        </r>
      </text>
    </comment>
    <comment ref="M28" authorId="3" shapeId="0" xr:uid="{958539F3-7D38-6E4B-BF35-69D4D724398E}">
      <text>
        <r>
          <rPr>
            <sz val="8"/>
            <color indexed="81"/>
            <rFont val="Tahoma"/>
            <family val="2"/>
          </rPr>
          <t>Energie libérée lors de l'impact balistique.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Balistic impact energy</t>
        </r>
      </text>
    </comment>
    <comment ref="B30" authorId="4" shapeId="0" xr:uid="{14989AF1-08E3-8F4C-A76E-1CA69A50E176}">
      <text>
        <r>
          <rPr>
            <sz val="8"/>
            <color rgb="FF000000"/>
            <rFont val="Tahoma"/>
            <family val="2"/>
          </rPr>
          <t xml:space="preserve">La Vitesse de descente sous parachute doit être comprise entre 5 &amp; 15m/s.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i/>
            <sz val="8"/>
            <color rgb="FF000000"/>
            <rFont val="Tahoma"/>
            <family val="2"/>
          </rPr>
          <t>Fall Velocity with parachute must be between 5 &amp; 15 m/s.</t>
        </r>
      </text>
    </comment>
    <comment ref="B33" authorId="0" shapeId="0" xr:uid="{99C5B9B1-DACD-4949-8E82-0494050894FB}">
      <text>
        <r>
          <rPr>
            <sz val="8"/>
            <color indexed="8"/>
            <rFont val="Tahoma"/>
            <family val="2"/>
          </rPr>
          <t xml:space="preserve">Déviation due au vent lors de la descente sous parachute.
</t>
        </r>
        <r>
          <rPr>
            <i/>
            <sz val="8"/>
            <color indexed="8"/>
            <rFont val="Tahoma"/>
            <family val="2"/>
          </rPr>
          <t>Deviation due to wind during the fall over parachute.</t>
        </r>
      </text>
    </comment>
    <comment ref="F40" authorId="1" shapeId="0" xr:uid="{4C5983D3-8ABD-124E-915B-4E877960845F}">
      <text>
        <r>
          <rPr>
            <sz val="8"/>
            <color indexed="8"/>
            <rFont val="Tahoma"/>
            <family val="2"/>
          </rPr>
          <t xml:space="preserve">Les Conditions Initiales permettent de simuler le 2e boost des fusée bi-étage ou des fusées larguant une masse (CanSat, bi-inerte). Laisser à 0 dans les autres cas.
</t>
        </r>
        <r>
          <rPr>
            <i/>
            <sz val="8"/>
            <color indexed="8"/>
            <rFont val="Tahoma"/>
            <family val="2"/>
          </rPr>
          <t>Initial Conditions can be used to simulate the 2nd boost of 2-stages rockets, or rocket releasing mass (Quasi-Satellites). Set them to 0 otherwise.</t>
        </r>
      </text>
    </comment>
    <comment ref="I40" authorId="1" shapeId="0" xr:uid="{01589978-EDDE-3741-BF57-74E8E94DE07A}">
      <text>
        <r>
          <rPr>
            <sz val="8"/>
            <color indexed="8"/>
            <rFont val="Tahoma"/>
            <family val="2"/>
          </rPr>
          <t xml:space="preserve">Altitude par rapport à la rampe, par rapport au sol.
</t>
        </r>
        <r>
          <rPr>
            <i/>
            <sz val="8"/>
            <color indexed="8"/>
            <rFont val="Tahoma"/>
            <family val="2"/>
          </rPr>
          <t>Altitude with respect to the earth surface.</t>
        </r>
      </text>
    </comment>
    <comment ref="K40" authorId="1" shapeId="0" xr:uid="{7D4F787C-8E9D-AD4B-B98C-DFC41DE06DE4}">
      <text>
        <r>
          <rPr>
            <sz val="8"/>
            <color indexed="8"/>
            <rFont val="Tahoma"/>
            <family val="2"/>
          </rPr>
          <t xml:space="preserve">La vitesse initiale doit être non-nulle dans le cas d'un 2e boost (allumage hors de la rampe, Portée et Altitude non-nulles).
</t>
        </r>
        <r>
          <rPr>
            <i/>
            <sz val="8"/>
            <color indexed="8"/>
            <rFont val="Tahoma"/>
            <family val="2"/>
          </rPr>
          <t>Initial Velocity must be non-zero in case of 2nd boost (ignition without launch pad, non-zero Range and Altitude).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M363040</author>
    <author>Léo Côme</author>
  </authors>
  <commentList>
    <comment ref="B10" authorId="0" shapeId="0" xr:uid="{DECAEDCA-6867-B442-8EF7-18D10A7D4512}">
      <text>
        <r>
          <rPr>
            <sz val="8"/>
            <color indexed="8"/>
            <rFont val="Tahoma"/>
            <family val="2"/>
          </rPr>
          <t xml:space="preserve">Masse sans propu, à changer dans la feuille Stabilito,
ou à l'aide des boutons (revérifiez alors la stabilité).
</t>
        </r>
        <r>
          <rPr>
            <i/>
            <sz val="8"/>
            <color indexed="8"/>
            <rFont val="Tahoma"/>
            <family val="2"/>
          </rPr>
          <t>Rocket mass without motor, to be changed in Stabilito sheet,
or with the buttons (then recheck stability).</t>
        </r>
      </text>
    </comment>
    <comment ref="B11" authorId="0" shapeId="0" xr:uid="{6DE15895-CF3A-B04B-9924-780E2F0470E3}">
      <text>
        <r>
          <rPr>
            <sz val="8"/>
            <color indexed="8"/>
            <rFont val="Tahoma"/>
            <family val="2"/>
          </rPr>
          <t>Masse totale, à changer dans la feuille Stabilito,
ou à l'aide des boutons (revérifiez alors la stabilité).
Rocket total mass, to be changed in Stabilito sheet,
or with the buttons (then recheck stability).</t>
        </r>
      </text>
    </comment>
    <comment ref="B12" authorId="0" shapeId="0" xr:uid="{FC517C5B-575E-C442-96EF-03A0E0636F81}">
      <text>
        <r>
          <rPr>
            <sz val="8"/>
            <color indexed="8"/>
            <rFont val="Tahoma"/>
            <family val="2"/>
          </rPr>
          <t xml:space="preserve">Le propulseur doit être sélectionné dans l'onglet Stabilito.
</t>
        </r>
        <r>
          <rPr>
            <i/>
            <sz val="8"/>
            <color indexed="8"/>
            <rFont val="Tahoma"/>
            <family val="2"/>
          </rPr>
          <t>Motor must be selected in Stabilito sheet.</t>
        </r>
      </text>
    </comment>
    <comment ref="B15" authorId="1" shapeId="0" xr:uid="{17E33935-8B9F-6541-A3BE-C2438CE92052}">
      <text>
        <r>
          <rPr>
            <sz val="8"/>
            <color indexed="8"/>
            <rFont val="Tahoma"/>
            <family val="2"/>
          </rPr>
          <t xml:space="preserve">Diamètre de référence. D_réf = D_ogive ou le diamètre "principal".
</t>
        </r>
        <r>
          <rPr>
            <i/>
            <sz val="8"/>
            <color indexed="8"/>
            <rFont val="Tahoma"/>
            <family val="2"/>
          </rPr>
          <t>Reference Diameter. D_ref = D_ogive or the "main" diameter.</t>
        </r>
      </text>
    </comment>
    <comment ref="B16" authorId="2" shapeId="0" xr:uid="{E172DD01-C068-EB46-9363-E08B5F91D3F8}">
      <text>
        <r>
          <rPr>
            <sz val="8"/>
            <color indexed="8"/>
            <rFont val="Tahoma"/>
            <family val="2"/>
          </rPr>
          <t xml:space="preserve">Coefficient de Traînée de la fusée. Par défaut, le </t>
        </r>
        <r>
          <rPr>
            <b/>
            <sz val="8"/>
            <color indexed="8"/>
            <rFont val="Tahoma"/>
            <family val="2"/>
          </rPr>
          <t>Cx</t>
        </r>
        <r>
          <rPr>
            <sz val="8"/>
            <color indexed="8"/>
            <rFont val="Tahoma"/>
            <family val="2"/>
          </rPr>
          <t xml:space="preserve"> vaut 0.6. On peut ajouter ou retrancher 0.2 en fonction des aspérités de la fusée, du profilage des ailerons…
</t>
        </r>
        <r>
          <rPr>
            <i/>
            <sz val="8"/>
            <color indexed="8"/>
            <rFont val="Tahoma"/>
            <family val="2"/>
          </rPr>
          <t>Rocket Drag Coefficient is generally between 0.4 and 0.8, with a default value of 0.6.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Léo</author>
  </authors>
  <commentList>
    <comment ref="E52" authorId="0" shapeId="0" xr:uid="{F64DC3FF-91A3-DF48-911C-0D7848EFC6BB}">
      <text>
        <r>
          <rPr>
            <sz val="8"/>
            <color indexed="81"/>
            <rFont val="Tahoma"/>
            <family val="2"/>
          </rPr>
          <t xml:space="preserve">Masse volumique de l'air (ρ) à P=1013,25hPa &amp; T=15°C.
Utilisée tel quel pour la descente sous parachute,
utilisée comme référence (z=0) pour le calcul de ρ en fonction de l'altitude dans le calcul de la trajectoire pas à pas.
Idéalement, valeur à adapter aux conditions atmosphériques au moment du lancement.
</t>
        </r>
        <r>
          <rPr>
            <i/>
            <sz val="8"/>
            <color indexed="81"/>
            <rFont val="Tahoma"/>
            <family val="2"/>
          </rPr>
          <t>Air density (ρ) at P=1013,25hPa &amp; T=15°C.</t>
        </r>
      </text>
    </comment>
  </commentList>
</comments>
</file>

<file path=xl/sharedStrings.xml><?xml version="1.0" encoding="utf-8"?>
<sst xmlns="http://schemas.openxmlformats.org/spreadsheetml/2006/main" count="1674" uniqueCount="556">
  <si>
    <t>TRAJECTO</t>
  </si>
  <si>
    <t>Français</t>
  </si>
  <si>
    <t>t</t>
  </si>
  <si>
    <t>x</t>
  </si>
  <si>
    <t>Club</t>
  </si>
  <si>
    <t>Cx</t>
  </si>
  <si>
    <t>Altitude</t>
  </si>
  <si>
    <t>m/s²</t>
  </si>
  <si>
    <t>kg/m3</t>
  </si>
  <si>
    <t>Surface para</t>
  </si>
  <si>
    <t>Cx parachute</t>
  </si>
  <si>
    <t>Temps</t>
  </si>
  <si>
    <t>Altitude z</t>
  </si>
  <si>
    <t>Accélération</t>
  </si>
  <si>
    <t>-</t>
  </si>
  <si>
    <t>Culmination, Apogée</t>
  </si>
  <si>
    <t>~0</t>
  </si>
  <si>
    <t>Forces</t>
  </si>
  <si>
    <t>Accélération longitudinale</t>
  </si>
  <si>
    <t>pas</t>
  </si>
  <si>
    <t>Beta</t>
  </si>
  <si>
    <t>BetaD</t>
  </si>
  <si>
    <t>Débit</t>
  </si>
  <si>
    <t>Trainée</t>
  </si>
  <si>
    <t>Rho</t>
  </si>
  <si>
    <t>Poussée</t>
  </si>
  <si>
    <t>i_P</t>
  </si>
  <si>
    <t>Poids</t>
  </si>
  <si>
    <t>R_rampe</t>
  </si>
  <si>
    <t>z</t>
  </si>
  <si>
    <t>non-gravit.</t>
  </si>
  <si>
    <t>gravitationnelle</t>
  </si>
  <si>
    <t>Ligne</t>
  </si>
  <si>
    <t>Temps (en s)</t>
  </si>
  <si>
    <t>Poussée (en N)</t>
  </si>
  <si>
    <t>Isard</t>
  </si>
  <si>
    <t>Chamois</t>
  </si>
  <si>
    <t>Pro75-2G</t>
  </si>
  <si>
    <t>espace@planete-sciences.org</t>
  </si>
  <si>
    <t>m</t>
  </si>
  <si>
    <t>http://www.planete-sciences.org/espace/basedoc/</t>
  </si>
  <si>
    <t>Surface Réf.</t>
  </si>
  <si>
    <t>Angle</t>
  </si>
  <si>
    <t>Léo Côme</t>
  </si>
  <si>
    <t>Notes :</t>
  </si>
  <si>
    <t>Barasinga (Pro54-5G)</t>
  </si>
  <si>
    <t>Orignal (Pro75-3G)</t>
  </si>
  <si>
    <t>Aucun (2e ét. inerte)</t>
  </si>
  <si>
    <t>z para</t>
  </si>
  <si>
    <t>z sat</t>
  </si>
  <si>
    <t>xz max</t>
  </si>
  <si>
    <t>t para</t>
  </si>
  <si>
    <t>x para</t>
  </si>
  <si>
    <t>t sat</t>
  </si>
  <si>
    <t>x sat</t>
  </si>
  <si>
    <t>Moteurs Rocketry-Challenge, bug Surface_parachute, Satellite, bug Ooo</t>
  </si>
  <si>
    <t>STABILITO</t>
  </si>
  <si>
    <t>Type</t>
  </si>
  <si>
    <t>XCp</t>
  </si>
  <si>
    <t>MpropuPlein</t>
  </si>
  <si>
    <t>XpropuPlein</t>
  </si>
  <si>
    <t>MpropuVide</t>
  </si>
  <si>
    <t>XpropuVide</t>
  </si>
  <si>
    <t>Longueur</t>
  </si>
  <si>
    <t>Diamètre</t>
  </si>
  <si>
    <t>Min</t>
  </si>
  <si>
    <t>Max</t>
  </si>
  <si>
    <t>Finesse</t>
  </si>
  <si>
    <t>Cnα</t>
  </si>
  <si>
    <t>MS /L</t>
  </si>
  <si>
    <t>English</t>
  </si>
  <si>
    <t>X longi</t>
  </si>
  <si>
    <t>Y latéral</t>
  </si>
  <si>
    <t>- Y latéral</t>
  </si>
  <si>
    <t>Pointe</t>
  </si>
  <si>
    <t>Ogive</t>
  </si>
  <si>
    <t>chmt1 pt1</t>
  </si>
  <si>
    <t>chmt1 pt2</t>
  </si>
  <si>
    <t>chmt2 pt1</t>
  </si>
  <si>
    <t>chmt2 pt2</t>
  </si>
  <si>
    <t>culot</t>
  </si>
  <si>
    <t>aileron pt1</t>
  </si>
  <si>
    <t>aileron pt2</t>
  </si>
  <si>
    <t>aileron pt3</t>
  </si>
  <si>
    <t>aileron pt4</t>
  </si>
  <si>
    <t>Xcg plein</t>
  </si>
  <si>
    <t>Xcg vide</t>
  </si>
  <si>
    <t>Xcp</t>
  </si>
  <si>
    <t>canard pt1</t>
  </si>
  <si>
    <t>canard pt2</t>
  </si>
  <si>
    <t>canard pt3</t>
  </si>
  <si>
    <t>canard pt4</t>
  </si>
  <si>
    <t>masquage pt1</t>
  </si>
  <si>
    <t>masquage pt2</t>
  </si>
  <si>
    <t>masquage pt3</t>
  </si>
  <si>
    <t>masquage pt4</t>
  </si>
  <si>
    <t>cadre</t>
  </si>
  <si>
    <t>propu pt1</t>
  </si>
  <si>
    <t>propu pt2</t>
  </si>
  <si>
    <t>propu pt3</t>
  </si>
  <si>
    <t>propu pt4</t>
  </si>
  <si>
    <t>propu pt5</t>
  </si>
  <si>
    <t>MS (X)</t>
  </si>
  <si>
    <t>Cna (Y)</t>
  </si>
  <si>
    <t>2002-2007</t>
  </si>
  <si>
    <t>Stabilito V1.x</t>
  </si>
  <si>
    <t>Stabilito V2.0</t>
  </si>
  <si>
    <t>Stabilito V2.1</t>
  </si>
  <si>
    <t>Stabilito V2.2</t>
  </si>
  <si>
    <t>Trajecto V1.x</t>
  </si>
  <si>
    <t>Trajecto V2.x</t>
  </si>
  <si>
    <t>Trajecto V2.4</t>
  </si>
  <si>
    <t>Trajecto V2.5</t>
  </si>
  <si>
    <t>OpenOffice Calc</t>
  </si>
  <si>
    <t>µ-propu A8-3</t>
  </si>
  <si>
    <t>µ-propu B4-4</t>
  </si>
  <si>
    <t>µ-propu C6-3</t>
  </si>
  <si>
    <t>ISP</t>
  </si>
  <si>
    <t>I_total</t>
  </si>
  <si>
    <t>I_total_i (en N.s)</t>
  </si>
  <si>
    <t>Micro</t>
  </si>
  <si>
    <t>Fusex</t>
  </si>
  <si>
    <t>Mini</t>
  </si>
  <si>
    <t>0 satellite</t>
  </si>
  <si>
    <t>1 satellite</t>
  </si>
  <si>
    <t>http://creativecommons.org/licenses/by-sa/3.0/</t>
  </si>
  <si>
    <t>VL4</t>
  </si>
  <si>
    <t>Vsortie de rampe (&gt; 18 m/s)</t>
  </si>
  <si>
    <t>10 &lt; finesse &lt; 20</t>
  </si>
  <si>
    <t>15 &lt; Cn &lt; 30</t>
  </si>
  <si>
    <t>30 &lt; Ms x Cn &lt; 100</t>
  </si>
  <si>
    <t>RC1</t>
  </si>
  <si>
    <t>5 &lt; Vc &lt; 15 m/s</t>
  </si>
  <si>
    <t>RC2</t>
  </si>
  <si>
    <t>Temps de retard ralentisseur</t>
  </si>
  <si>
    <t>RC5</t>
  </si>
  <si>
    <t>Portée balistique (m)</t>
  </si>
  <si>
    <t>Temps de vol avec parachute (s)</t>
  </si>
  <si>
    <t>Culmination</t>
  </si>
  <si>
    <t>Accélération max (m/s²)</t>
  </si>
  <si>
    <t>Vmax (m/s)</t>
  </si>
  <si>
    <t>Altitude (m)</t>
  </si>
  <si>
    <t>Temps (s)</t>
  </si>
  <si>
    <t>Vitesse (m/s)</t>
  </si>
  <si>
    <t>Inclinaison</t>
  </si>
  <si>
    <t>Longueur totale</t>
  </si>
  <si>
    <t>Longueur rampe</t>
  </si>
  <si>
    <t>Epaisseur ailerons</t>
  </si>
  <si>
    <t>Nombre ailerons</t>
  </si>
  <si>
    <t>Type d'ogive</t>
  </si>
  <si>
    <t>Longueur ogive "l"</t>
  </si>
  <si>
    <t>Haut du propu "Prop"</t>
  </si>
  <si>
    <t>Diamètre "D"</t>
  </si>
  <si>
    <t>Position ailerons "L"</t>
  </si>
  <si>
    <t>M</t>
  </si>
  <si>
    <t>Microsoft Excel 2003 ou +</t>
  </si>
  <si>
    <t>s</t>
  </si>
  <si>
    <t>m/s</t>
  </si>
  <si>
    <t>°</t>
  </si>
  <si>
    <t>Transition A</t>
  </si>
  <si>
    <t>Transition B</t>
  </si>
  <si>
    <t>Jaune</t>
  </si>
  <si>
    <t>conique</t>
  </si>
  <si>
    <t>ogive</t>
  </si>
  <si>
    <t>parabole</t>
  </si>
  <si>
    <t>env pt4</t>
  </si>
  <si>
    <t>flèche pt2</t>
  </si>
  <si>
    <t>saumon pt3</t>
  </si>
  <si>
    <t>flèche milieu</t>
  </si>
  <si>
    <t>env milieu</t>
  </si>
  <si>
    <t>saumon milieu</t>
  </si>
  <si>
    <t>empl milieu</t>
  </si>
  <si>
    <t>empl pt4</t>
  </si>
  <si>
    <t>MS milieu</t>
  </si>
  <si>
    <t>MS Xcp</t>
  </si>
  <si>
    <t>1s</t>
  </si>
  <si>
    <t>t/T</t>
  </si>
  <si>
    <t>z/Z</t>
  </si>
  <si>
    <t>vertical</t>
  </si>
  <si>
    <t>horizontal</t>
  </si>
  <si>
    <t>flèches</t>
  </si>
  <si>
    <t>StabTraj</t>
  </si>
  <si>
    <t>StabTraj V3.0</t>
  </si>
  <si>
    <t>Trajecto</t>
  </si>
  <si>
    <t>µ-propu</t>
  </si>
  <si>
    <t>Minif</t>
  </si>
  <si>
    <t xml:space="preserve"> </t>
  </si>
  <si>
    <t>Événements</t>
  </si>
  <si>
    <t>Sous-échantillon 1Hz</t>
  </si>
  <si>
    <t>pos_x</t>
  </si>
  <si>
    <t>pos_z</t>
  </si>
  <si>
    <t>pos_xz</t>
  </si>
  <si>
    <t>vit_x</t>
  </si>
  <si>
    <t>vit_z</t>
  </si>
  <si>
    <t>vit_xz</t>
  </si>
  <si>
    <t>acc_x</t>
  </si>
  <si>
    <t>acc_z</t>
  </si>
  <si>
    <t>acc_xz</t>
  </si>
  <si>
    <t>Donneés au format des fiches de contrôles Fusex :</t>
  </si>
  <si>
    <t>Diamètre max</t>
  </si>
  <si>
    <t>Envergure totale</t>
  </si>
  <si>
    <t>sans</t>
  </si>
  <si>
    <t>vide</t>
  </si>
  <si>
    <t>plein</t>
  </si>
  <si>
    <t>Masse</t>
  </si>
  <si>
    <t>STAB 1</t>
  </si>
  <si>
    <t>STAB 2</t>
  </si>
  <si>
    <t>STAB 3</t>
  </si>
  <si>
    <t>STAB 4</t>
  </si>
  <si>
    <t>STAB 5</t>
  </si>
  <si>
    <t>Vsortie de rampe (&gt; 20 m/s)</t>
  </si>
  <si>
    <t>10 &lt; finesse &lt; 35</t>
  </si>
  <si>
    <t>15 &lt; Portance &lt; 40</t>
  </si>
  <si>
    <t>2*D &lt; Ms &lt; 6*D</t>
  </si>
  <si>
    <t>40 &lt; Ms x Cn &lt; 100</t>
  </si>
  <si>
    <t>Maître couple (m²)</t>
  </si>
  <si>
    <t>Site</t>
  </si>
  <si>
    <t>Temps balistique (s)</t>
  </si>
  <si>
    <t>Temps culmi (s)</t>
  </si>
  <si>
    <t>Altitude culmi (m)</t>
  </si>
  <si>
    <t>Vitesse culmi (m/s)</t>
  </si>
  <si>
    <t>CdG</t>
  </si>
  <si>
    <t>Diamètre max (40à200)</t>
  </si>
  <si>
    <t>Envergure totale &lt;720</t>
  </si>
  <si>
    <t>Masse &lt;15</t>
  </si>
  <si>
    <t>Pensez à modifier l'inclinaison pour avoir les 2 valeurs.</t>
  </si>
  <si>
    <t>Resist long aileron</t>
  </si>
  <si>
    <t>Resist transv aileron</t>
  </si>
  <si>
    <t>Compression 2.Acc.M</t>
  </si>
  <si>
    <t>N</t>
  </si>
  <si>
    <t>kg</t>
  </si>
  <si>
    <t>Surface aileron (m²)</t>
  </si>
  <si>
    <t>Masse aileron (kg)</t>
  </si>
  <si>
    <t>T dépotage +/-2s /appogée</t>
  </si>
  <si>
    <t>REC 2</t>
  </si>
  <si>
    <t>SEQ 5</t>
  </si>
  <si>
    <t>CR 1</t>
  </si>
  <si>
    <t>CR 2</t>
  </si>
  <si>
    <t>MEC 3</t>
  </si>
  <si>
    <t>Vitesse à l'ouverture m/s</t>
  </si>
  <si>
    <t>Surface parachute m²</t>
  </si>
  <si>
    <t xml:space="preserve">Choc à l'ouverture   N </t>
  </si>
  <si>
    <t>Choc à l'ouverture   kg</t>
  </si>
  <si>
    <t>Compression porte</t>
  </si>
  <si>
    <t>Masse au-dessus porte</t>
  </si>
  <si>
    <t>REC 8</t>
  </si>
  <si>
    <t>rad</t>
  </si>
  <si>
    <t>kg/s</t>
  </si>
  <si>
    <t>Méthodes d'intégration maison</t>
  </si>
  <si>
    <t>Wikipedia</t>
  </si>
  <si>
    <t>Pour se limiter à 1000 lignes, pas variable (les transitions sont-elles rigoureuses ?).</t>
  </si>
  <si>
    <t>Le Vol de la Fusée</t>
  </si>
  <si>
    <t>Beeman (2nd order, explicit variant)</t>
  </si>
  <si>
    <t>Newmark-beta (with γ=1/2 &amp; β=1/4) (2nd order)</t>
  </si>
  <si>
    <t>Spécificités de notre problème (2nd order mechanical ODE) :</t>
  </si>
  <si>
    <t>Verlet (2-stage 2nd order, symplectic, explicit)</t>
  </si>
  <si>
    <t>Trajec 2.x utililse un mélange douteux de différentes méthodes :</t>
  </si>
  <si>
    <t>Méthodes d'intégration explicites officielles</t>
  </si>
  <si>
    <t>On peut anticiper la Poussée (force qui varie le +) et la masse.</t>
  </si>
  <si>
    <t>L'Acc dépend de la vitesse (et peu de la position).</t>
  </si>
  <si>
    <t>Semi-implicit Euler (1st order, symplectic) [§ "Euler modifié" dans Le Vol de La Fusée]</t>
  </si>
  <si>
    <t>Explicit Euler (1st order, non-symplectic) [RK1]</t>
  </si>
  <si>
    <t>Velocity Verlet, Leapfrog variant (2nd order, symplectic, explicit)</t>
  </si>
  <si>
    <t>Midpoint, Modified Euler (2nd order, explicit) [§ "RK2" dans Le Vol de La Fusée]</t>
  </si>
  <si>
    <t>Heun, Improved Euler (2-stage 2nd-order, explicit, predictor-corrector) [Trapezoidal] [RK2]</t>
  </si>
  <si>
    <t>Les méthodes symplectic (conserve l'énergie) gardent-elles leur avantage quand la masse varie (ph propu) ?</t>
  </si>
  <si>
    <t>Sous Excel, on a les pas précédent (linear multistep possible), mais ordre élevé ou implicite sont à exclure.</t>
  </si>
  <si>
    <t>Multi{sub}step (RK), linear multi{previous}step (ADAMS), predictor-corrector, implicit …</t>
  </si>
  <si>
    <t>Dynamique de la fusée (repère sol)</t>
  </si>
  <si>
    <t>Brun/Orange…</t>
  </si>
  <si>
    <t>Rouge…</t>
  </si>
  <si>
    <t>Trajecto/StabTraj corrige l'erreur de Trajec sur Xn+1 en utilisant la vitesse moyenne :</t>
  </si>
  <si>
    <t>Idéalement, il serait préférable de tout calculer à n+0.5 (m, V, β, ρ).</t>
  </si>
  <si>
    <t>Checksum :</t>
  </si>
  <si>
    <t>M_éjecté</t>
  </si>
  <si>
    <t>M_burnout</t>
  </si>
  <si>
    <t>m_poudre</t>
  </si>
  <si>
    <t>Wapiti</t>
  </si>
  <si>
    <t>Cariacou</t>
  </si>
  <si>
    <t>H2O</t>
  </si>
  <si>
    <t>H2O 2.0L 400g 6bar</t>
  </si>
  <si>
    <t>H2O 2.0L 600g 6bar</t>
  </si>
  <si>
    <t>H2O 2.0L 800g 6bar</t>
  </si>
  <si>
    <t>H2O 2.0L 1000g 6bar</t>
  </si>
  <si>
    <t>ABACO</t>
  </si>
  <si>
    <t>Masse totale</t>
  </si>
  <si>
    <t>Traînée prop</t>
  </si>
  <si>
    <t>Traînée bal</t>
  </si>
  <si>
    <t>1/2.ρ.S.Cx</t>
  </si>
  <si>
    <t>M ph prop</t>
  </si>
  <si>
    <t>M ph bal</t>
  </si>
  <si>
    <t>alt_prop</t>
  </si>
  <si>
    <t>V_prop</t>
  </si>
  <si>
    <t>t_culmi</t>
  </si>
  <si>
    <t>D_var</t>
  </si>
  <si>
    <t>Q_var</t>
  </si>
  <si>
    <t>m_var</t>
  </si>
  <si>
    <t>m_prop</t>
  </si>
  <si>
    <t>m_bal</t>
  </si>
  <si>
    <t>a_prop</t>
  </si>
  <si>
    <t>b_prop</t>
  </si>
  <si>
    <t>b_bal</t>
  </si>
  <si>
    <t>Alt prop</t>
  </si>
  <si>
    <t>V max</t>
  </si>
  <si>
    <t>LibreOffice Calc 3.4 ou +</t>
  </si>
  <si>
    <t>alt_culmi</t>
  </si>
  <si>
    <t>x_triomphe</t>
  </si>
  <si>
    <t>z_triomphe</t>
  </si>
  <si>
    <t>Arc de triomphe</t>
  </si>
  <si>
    <t>z_Eiffel</t>
  </si>
  <si>
    <t>x_Eiffel</t>
  </si>
  <si>
    <t>Tour Eiffel</t>
  </si>
  <si>
    <t>H2O 1.5L 300g 6bar</t>
  </si>
  <si>
    <t>H2O 1.5L 450g 6bar</t>
  </si>
  <si>
    <t>H2O 1.5L 600g 6bar</t>
  </si>
  <si>
    <t>H2O 1.5L 750g 6bar</t>
  </si>
  <si>
    <t>FUSEX</t>
  </si>
  <si>
    <t>MINIF PRO29-1G</t>
  </si>
  <si>
    <t>MINIF PRO24-3G</t>
  </si>
  <si>
    <t>MINIF PRO29-2G</t>
  </si>
  <si>
    <t>MINIF PRO24-1G</t>
  </si>
  <si>
    <t>Pro98-2G WT</t>
  </si>
  <si>
    <t>Pro98-3G WT</t>
  </si>
  <si>
    <t>p24-1G 24E22</t>
  </si>
  <si>
    <t>p24-1G 26E31</t>
  </si>
  <si>
    <t>p24-3G 60F50</t>
  </si>
  <si>
    <t>p24-3G 68F79</t>
  </si>
  <si>
    <t>p24-3G 68F240</t>
  </si>
  <si>
    <t>p24-3G 73F30</t>
  </si>
  <si>
    <t>p24-3G 74F85</t>
  </si>
  <si>
    <t>p24-3G 75F51</t>
  </si>
  <si>
    <t>StabTraj V3.1</t>
  </si>
  <si>
    <t>StabTraj V3.2</t>
  </si>
  <si>
    <t>µ-propu C6-3 x2</t>
  </si>
  <si>
    <t>µ-propu C6-3 x3</t>
  </si>
  <si>
    <t>Propu : +RC &amp; +Tintin 2013 : 3 p24-1G, p24-3G 75F51 &amp; 60F50, Pro98-2G &amp; 3G WT</t>
  </si>
  <si>
    <t>Propu : +multi-µ-fu, -Wapiti, warning Cariacou, "Rufina"</t>
  </si>
  <si>
    <t>Donneés au format des fiches de lancement Fusex :</t>
  </si>
  <si>
    <t>Projet</t>
  </si>
  <si>
    <t>Chef de projet</t>
  </si>
  <si>
    <t>Date</t>
  </si>
  <si>
    <t>Moteur</t>
  </si>
  <si>
    <t>Virole</t>
  </si>
  <si>
    <t>MECANIQUE</t>
  </si>
  <si>
    <t xml:space="preserve">l = </t>
  </si>
  <si>
    <t xml:space="preserve">D = </t>
  </si>
  <si>
    <t>Dj =</t>
  </si>
  <si>
    <t xml:space="preserve">Dr = </t>
  </si>
  <si>
    <t xml:space="preserve">m = </t>
  </si>
  <si>
    <t>Epaisseur :</t>
  </si>
  <si>
    <t>Nb Aileron</t>
  </si>
  <si>
    <t>Type ogive</t>
  </si>
  <si>
    <t>ogivale</t>
  </si>
  <si>
    <t>parabolique</t>
  </si>
  <si>
    <t>X_plaque de poussée</t>
  </si>
  <si>
    <t>Masse fusée</t>
  </si>
  <si>
    <t>X_CdG</t>
  </si>
  <si>
    <t>Propu plein</t>
  </si>
  <si>
    <t>Sans propu</t>
  </si>
  <si>
    <t>Masse avec propu vide</t>
  </si>
  <si>
    <t>Simulation de vol</t>
  </si>
  <si>
    <t>Tenue mécanique</t>
  </si>
  <si>
    <t>masse d'un aileron</t>
  </si>
  <si>
    <t>superficie d'un aileron</t>
  </si>
  <si>
    <t>fleche acceptable(mm)</t>
  </si>
  <si>
    <t>compression</t>
  </si>
  <si>
    <t>Resistance longitudinale d'un aileron</t>
  </si>
  <si>
    <t>Resistance transversale d'un aileron</t>
  </si>
  <si>
    <t>Récupération</t>
  </si>
  <si>
    <t>Ralentisseur</t>
  </si>
  <si>
    <t>nombre de suspentes</t>
  </si>
  <si>
    <t>surface parachute</t>
  </si>
  <si>
    <t>force à tester totale</t>
  </si>
  <si>
    <t>force sur suspente</t>
  </si>
  <si>
    <t>Séparation latérale</t>
  </si>
  <si>
    <t>masse au dessus case para</t>
  </si>
  <si>
    <t>Force de compression</t>
  </si>
  <si>
    <t>MINIF PRO24-6G</t>
  </si>
  <si>
    <t>MINIF PRO38-1G</t>
  </si>
  <si>
    <t>p29-2G 84G88</t>
  </si>
  <si>
    <t>p29-2G 93G80</t>
  </si>
  <si>
    <t>p29-2G 110G250</t>
  </si>
  <si>
    <t>p29-2G 116G126</t>
  </si>
  <si>
    <t>p38-1G 137G58</t>
  </si>
  <si>
    <t>p38-1G 128G185</t>
  </si>
  <si>
    <t>p29-1G 41F36</t>
  </si>
  <si>
    <t>p29-1G 51F36</t>
  </si>
  <si>
    <t>p29-1G 55F29</t>
  </si>
  <si>
    <t>p29-1G 56F120</t>
  </si>
  <si>
    <t>p29-1G 57F59</t>
  </si>
  <si>
    <t>MINIF PRO29-3G</t>
  </si>
  <si>
    <t>p29-3G 125G131</t>
  </si>
  <si>
    <t>p38-1G 141G78</t>
  </si>
  <si>
    <t>MINIF PRO24-2G</t>
  </si>
  <si>
    <t>p24-2G 50E51</t>
  </si>
  <si>
    <t>p24-1G 53E70</t>
  </si>
  <si>
    <t>p29-3G 159G125</t>
  </si>
  <si>
    <t>Dépotage</t>
  </si>
  <si>
    <t>Combustion</t>
  </si>
  <si>
    <t>Sylvain Besson</t>
  </si>
  <si>
    <t>Minif Test</t>
  </si>
  <si>
    <t>Rocketry Challenge</t>
  </si>
  <si>
    <t>,Minif Tests</t>
  </si>
  <si>
    <t>MiniR</t>
  </si>
  <si>
    <t>MiniRN</t>
  </si>
  <si>
    <t>MiniN</t>
  </si>
  <si>
    <t>H20</t>
  </si>
  <si>
    <t>micro</t>
  </si>
  <si>
    <t>minif N</t>
  </si>
  <si>
    <t>Verification moteur</t>
  </si>
  <si>
    <t>Minif RC</t>
  </si>
  <si>
    <t>N/A</t>
  </si>
  <si>
    <t>T_para =</t>
  </si>
  <si>
    <t>-9</t>
  </si>
  <si>
    <t>-7</t>
  </si>
  <si>
    <t>-5</t>
  </si>
  <si>
    <t>-3</t>
  </si>
  <si>
    <t>-0</t>
  </si>
  <si>
    <t>Délais dépotage</t>
  </si>
  <si>
    <t>Propu : +ProX, Stabilito : séparation minif/RC, Trajecto : dépotage +rampe RC 3m</t>
  </si>
  <si>
    <t>StabTraj V3.3a</t>
  </si>
  <si>
    <t>p24-1G 25E75 (Rufina)</t>
  </si>
  <si>
    <t>Modification des alertes, +Effort subit par les parachutes</t>
  </si>
  <si>
    <t>Pour prendre en compte plsu de moteurs, il faut changer les variables "menu_type" et "liste"propu" dans le gestionnaire de noms.</t>
  </si>
  <si>
    <t>StabTraj V3.3e</t>
  </si>
  <si>
    <t>Efforts</t>
  </si>
  <si>
    <t>Xcp0</t>
  </si>
  <si>
    <t>sans propu</t>
  </si>
  <si>
    <t>Mono-empennage</t>
  </si>
  <si>
    <t>Bi-empennage</t>
  </si>
  <si>
    <t>Portée balistique &lt; 200 m</t>
  </si>
  <si>
    <t>Indication dépotage lanceur</t>
  </si>
  <si>
    <t>~0 m</t>
  </si>
  <si>
    <t>Données au format des fiches de contrôles minif :</t>
  </si>
  <si>
    <t xml:space="preserve">n = </t>
  </si>
  <si>
    <t xml:space="preserve">E = </t>
  </si>
  <si>
    <t xml:space="preserve">p = </t>
  </si>
  <si>
    <t>1,5.D &lt; Ms &lt; 6.D</t>
  </si>
  <si>
    <t xml:space="preserve">ailrons haut </t>
  </si>
  <si>
    <t>nombre</t>
  </si>
  <si>
    <t xml:space="preserve">ep = </t>
  </si>
  <si>
    <t>Fusée</t>
  </si>
  <si>
    <t>D</t>
  </si>
  <si>
    <t>L ogive</t>
  </si>
  <si>
    <t>L tot</t>
  </si>
  <si>
    <t>X prop</t>
  </si>
  <si>
    <t>Ailerons</t>
  </si>
  <si>
    <t>n</t>
  </si>
  <si>
    <t>p</t>
  </si>
  <si>
    <t>E</t>
  </si>
  <si>
    <t>X ail</t>
  </si>
  <si>
    <t>Bi empennage</t>
  </si>
  <si>
    <t>L</t>
  </si>
  <si>
    <t>D 1</t>
  </si>
  <si>
    <t>D 2</t>
  </si>
  <si>
    <t>X</t>
  </si>
  <si>
    <t>X cg (sans)</t>
  </si>
  <si>
    <t>(mm)</t>
  </si>
  <si>
    <t>Masse sans propu (kg)</t>
  </si>
  <si>
    <t>Couleur de la fusée</t>
  </si>
  <si>
    <t>Type d'éjection du para.</t>
  </si>
  <si>
    <t>Couleur du ralentisseur</t>
  </si>
  <si>
    <t>Surface ralentisseur (m²)</t>
  </si>
  <si>
    <t>Masse sans prop. (kg)</t>
  </si>
  <si>
    <t>Diamètre max (mm)</t>
  </si>
  <si>
    <t>Longeur de la rampe (m)</t>
  </si>
  <si>
    <t>Propulseur</t>
  </si>
  <si>
    <t>module rocket(){</t>
  </si>
  <si>
    <t>}</t>
  </si>
  <si>
    <t>//--------------------------------coiffe</t>
  </si>
  <si>
    <t>if (coiffe_type   == "conique"){</t>
  </si>
  <si>
    <t>//--------------------------------corps</t>
  </si>
  <si>
    <t>if (plusieur_diametres == false){</t>
  </si>
  <si>
    <t>} else {</t>
  </si>
  <si>
    <t>//--------------------------------ailerons</t>
  </si>
  <si>
    <t>aileron(coiffe_diametre, aileron_m_emplature,</t>
  </si>
  <si>
    <t xml:space="preserve"> aileron_position_bas);</t>
  </si>
  <si>
    <t>if (bi_empennage == true){</t>
  </si>
  <si>
    <t xml:space="preserve"> aileron_sup_nombre,</t>
  </si>
  <si>
    <t>rocket();</t>
  </si>
  <si>
    <t xml:space="preserve">	module aileron(diam, m, n, p, e, ep, nb, pos, masque = true){</t>
  </si>
  <si>
    <t xml:space="preserve"> 		depha =   masque ? 0 : 45 ;</t>
  </si>
  <si>
    <t xml:space="preserve">		for (angle = [0 : 360/nb : 360] ){</t>
  </si>
  <si>
    <t xml:space="preserve">			translate ([-diam*sin(angle+depha), diam*cos(angle+depha), pos-m]) {</t>
  </si>
  <si>
    <t xml:space="preserve">				rotate( [0, 0, angle+depha] ){</t>
  </si>
  <si>
    <t xml:space="preserve">	</t>
  </si>
  <si>
    <t xml:space="preserve">					polyhedron</t>
  </si>
  <si>
    <t xml:space="preserve">						(points = [</t>
  </si>
  <si>
    <t xml:space="preserve">							[+ep, 0, 0], [+ep, 0, m], [+ep, e, p+n],  [+ep, e, p],</t>
  </si>
  <si>
    <t xml:space="preserve">							[-ep, 0, 0], [-ep, 0, m], [-ep, e, p+n],  [-ep, e, p]</t>
  </si>
  <si>
    <t xml:space="preserve">							],</t>
  </si>
  <si>
    <t xml:space="preserve">						triangles = [</t>
  </si>
  <si>
    <t xml:space="preserve">							[0, 2, 1], [0, 2, 3], //carre +</t>
  </si>
  <si>
    <t xml:space="preserve">							[4, 6, 5], [4, 6, 7], //carre -</t>
  </si>
  <si>
    <t xml:space="preserve">							[0, 5, 1], [0, 5, 4],</t>
  </si>
  <si>
    <t xml:space="preserve">							[1, 6, 2], [1, 6, 5],</t>
  </si>
  <si>
    <t xml:space="preserve">							[2, 7, 3], [2, 7, 6],</t>
  </si>
  <si>
    <t xml:space="preserve">							[0, 7, 3], [0, 7, 4]</t>
  </si>
  <si>
    <t xml:space="preserve">							]</t>
  </si>
  <si>
    <t xml:space="preserve">						);</t>
  </si>
  <si>
    <t xml:space="preserve">				}</t>
  </si>
  <si>
    <t xml:space="preserve">			}</t>
  </si>
  <si>
    <t xml:space="preserve">		}</t>
  </si>
  <si>
    <t xml:space="preserve">	}	</t>
  </si>
  <si>
    <t xml:space="preserve">	module coiffe(diam, hauteur, resolution = 20.0){</t>
  </si>
  <si>
    <t xml:space="preserve">		pas = hauteur/resolution;</t>
  </si>
  <si>
    <t xml:space="preserve">		for (x = [0: pas : hauteur] ){</t>
  </si>
  <si>
    <t xml:space="preserve">			translate( [0, 0, x+pas] ){</t>
  </si>
  <si>
    <t xml:space="preserve">				cylinder(pas, pow(x, 1.0/2.0), pow(x+pas, 1.0/2.0), false);</t>
  </si>
  <si>
    <t xml:space="preserve">	}</t>
  </si>
  <si>
    <t xml:space="preserve">	cylinder(coiffe_hauteur, 0, coiffe_diametre, false);</t>
  </si>
  <si>
    <t xml:space="preserve">	translate ([0, 0, coiffe_hauteur]) {</t>
  </si>
  <si>
    <t xml:space="preserve">		cylinder(longeur_total-coiffe_hauteur, coiffe_diametre, coiffe_diametre, false);</t>
  </si>
  <si>
    <t xml:space="preserve">	//Premier cylindre</t>
  </si>
  <si>
    <t xml:space="preserve">		cylinder(diam_A_X_implantation-coiffe_hauteur, coiffe_diametre, coiffe_diametre, false);</t>
  </si>
  <si>
    <t xml:space="preserve">	//Premier chanvrin</t>
  </si>
  <si>
    <t xml:space="preserve">	translate ([0, 0, diam_A_X_implantation]) {</t>
  </si>
  <si>
    <t xml:space="preserve">		cylinder(diam_A_L_longeur, diam_A_D1_diametre, diam_A_D2_diametre, false);</t>
  </si>
  <si>
    <t xml:space="preserve">		</t>
  </si>
  <si>
    <t xml:space="preserve">	//Second cylindre</t>
  </si>
  <si>
    <t xml:space="preserve">	translate ([0, 0, diam_A_X_implantation+diam_A_L_longeur]) {</t>
  </si>
  <si>
    <t xml:space="preserve">		cylinder(diam_B_X_implantation-(diam_A_X_implantation+diam_A_L_longeur), diam_A_D2_diametre, diam_B_D1_diametre, false);</t>
  </si>
  <si>
    <t xml:space="preserve">	//Second chanvrin</t>
  </si>
  <si>
    <t xml:space="preserve">	translate ([0, 0, diam_B_X_implantation]) {</t>
  </si>
  <si>
    <t xml:space="preserve">		cylinder(diam_B_L_longeur, diam_B_D1_diametre, diam_B_D2_diametre, false);</t>
  </si>
  <si>
    <t xml:space="preserve">	//Troisieme cylindre</t>
  </si>
  <si>
    <t xml:space="preserve">	translate ([0, 0, diam_B_X_implantation + diam_B_L_longeur]) {</t>
  </si>
  <si>
    <t xml:space="preserve">		cylinder(longeur_total-(diam_B_X_implantation + diam_B_L_longeur), diam_B_D2_diametre, diam_B_D2_diametre, false);</t>
  </si>
  <si>
    <t xml:space="preserve">	 aileron_n_saumon, </t>
  </si>
  <si>
    <t xml:space="preserve">	 aileron_p_fleche,</t>
  </si>
  <si>
    <t xml:space="preserve">	 aileron_e_envergure,</t>
  </si>
  <si>
    <t xml:space="preserve">	 aileron_epaisseur,</t>
  </si>
  <si>
    <t xml:space="preserve">	 aileron_nombre,</t>
  </si>
  <si>
    <t xml:space="preserve">	aileron(coiffe_diametre, aileron_sup_m_emplature,</t>
  </si>
  <si>
    <t xml:space="preserve">	 aileron_sup_n_saumon,</t>
  </si>
  <si>
    <t xml:space="preserve">	 aileron_sup_p_fleche,</t>
  </si>
  <si>
    <t xml:space="preserve">	 aileron_sup_e_envergure,</t>
  </si>
  <si>
    <t xml:space="preserve">	 aileron_sup_epaisseur,</t>
  </si>
  <si>
    <t xml:space="preserve">	 aileron_sup_position_bas,</t>
  </si>
  <si>
    <t xml:space="preserve">	 aileron_sup_masque);</t>
  </si>
  <si>
    <t>p24-6G 140G145 PK</t>
  </si>
  <si>
    <t>p24-6G 139G107 DT</t>
  </si>
  <si>
    <t>p24-6G 142G117 WT</t>
  </si>
  <si>
    <t>Klima D9-7 x2</t>
  </si>
  <si>
    <t>Klima D9-7 x3</t>
  </si>
  <si>
    <t>Klima D9-7</t>
  </si>
  <si>
    <t>autre</t>
  </si>
  <si>
    <t>Pandora</t>
  </si>
  <si>
    <t>StabTraj V3.4</t>
  </si>
  <si>
    <t>Propu : +Pandora</t>
  </si>
  <si>
    <t>v3.4</t>
  </si>
  <si>
    <t>Fusée expérimentale.</t>
  </si>
  <si>
    <t>Conique (droite)</t>
  </si>
  <si>
    <t>Plusieurs diamètres.</t>
  </si>
  <si>
    <t>SP-02-alpha</t>
  </si>
  <si>
    <t>l'AéroIPSA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</si>
</sst>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164" formatCode="General&quot; kg&quot;"/>
    <numFmt numFmtId="165" formatCode="0.0"/>
    <numFmt numFmtId="166" formatCode="0.000000&quot; m²&quot;"/>
    <numFmt numFmtId="167" formatCode="General&quot; m&quot;"/>
    <numFmt numFmtId="168" formatCode="General&quot; °&quot;"/>
    <numFmt numFmtId="169" formatCode="0.000"/>
    <numFmt numFmtId="170" formatCode="General&quot; s&quot;"/>
    <numFmt numFmtId="171" formatCode="General&quot; m²&quot;"/>
    <numFmt numFmtId="172" formatCode="0&quot; m/s&quot;"/>
    <numFmt numFmtId="173" formatCode="0&quot; s&quot;"/>
    <numFmt numFmtId="174" formatCode="General&quot; m/s&quot;"/>
    <numFmt numFmtId="175" formatCode="0&quot; m&quot;"/>
    <numFmt numFmtId="176" formatCode="General\ &quot;kg&quot;"/>
    <numFmt numFmtId="177" formatCode="General\ &quot;mm&quot;"/>
    <numFmt numFmtId="178" formatCode="0&quot; mm&quot;"/>
    <numFmt numFmtId="179" formatCode="General\ &quot;D&quot;"/>
    <numFmt numFmtId="180" formatCode="0.00&quot; D&quot;"/>
    <numFmt numFmtId="181" formatCode="0&quot;% L&quot;"/>
    <numFmt numFmtId="182" formatCode="General\°"/>
    <numFmt numFmtId="183" formatCode="0.#"/>
    <numFmt numFmtId="184" formatCode="0.0&quot; N.s&quot;"/>
    <numFmt numFmtId="185" formatCode="\±\ 0&quot; m&quot;"/>
    <numFmt numFmtId="186" formatCode="0.0&quot; s&quot;"/>
    <numFmt numFmtId="187" formatCode="0.0&quot; m/s&quot;"/>
    <numFmt numFmtId="188" formatCode="0&quot; m/s²&quot;"/>
    <numFmt numFmtId="189" formatCode="0.00&quot; m²&quot;"/>
    <numFmt numFmtId="190" formatCode="General\ &quot;g&quot;"/>
    <numFmt numFmtId="191" formatCode="#,##0.0\ [$ N]"/>
    <numFmt numFmtId="192" formatCode="#,##0.000\ [$KG]"/>
    <numFmt numFmtId="193" formatCode="0.0&quot; mm&quot;"/>
    <numFmt numFmtId="194" formatCode="General&quot; kg ±100%&quot;"/>
    <numFmt numFmtId="195" formatCode="0&quot; mm ±50%&quot;"/>
    <numFmt numFmtId="196" formatCode="General\ &quot;m/s²&quot;"/>
    <numFmt numFmtId="197" formatCode="&quot;Ø = &quot;0&quot; mm&quot;"/>
    <numFmt numFmtId="198" formatCode="#,##0\ [$ mm²]"/>
    <numFmt numFmtId="199" formatCode="#,#00\ [$ mm]"/>
    <numFmt numFmtId="200" formatCode="#,##0\ [$mm]"/>
    <numFmt numFmtId="201" formatCode="#,##0.00000\ [$ m²]"/>
    <numFmt numFmtId="202" formatCode="#,##0.0\ [$ kg]"/>
    <numFmt numFmtId="203" formatCode="0.00&quot; s&quot;"/>
    <numFmt numFmtId="204" formatCode="0.0&quot; N&quot;"/>
    <numFmt numFmtId="205" formatCode="0&quot; J&quot;"/>
    <numFmt numFmtId="206" formatCode="0&quot; G&quot;"/>
  </numFmts>
  <fonts count="55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color indexed="9"/>
      <name val="Arial"/>
      <family val="2"/>
    </font>
    <font>
      <b/>
      <sz val="12"/>
      <name val="Times New Roman"/>
      <family val="1"/>
    </font>
    <font>
      <b/>
      <sz val="9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b/>
      <sz val="10"/>
      <color indexed="18"/>
      <name val="Arial"/>
      <family val="2"/>
    </font>
    <font>
      <b/>
      <sz val="10"/>
      <color indexed="58"/>
      <name val="Arial"/>
      <family val="2"/>
    </font>
    <font>
      <b/>
      <sz val="10"/>
      <color indexed="17"/>
      <name val="Arial"/>
      <family val="2"/>
    </font>
    <font>
      <b/>
      <sz val="10"/>
      <color indexed="23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4"/>
      <color indexed="10"/>
      <name val="Arial"/>
      <family val="2"/>
    </font>
    <font>
      <sz val="8"/>
      <color indexed="8"/>
      <name val="Tahoma"/>
      <family val="2"/>
    </font>
    <font>
      <i/>
      <sz val="8"/>
      <color indexed="8"/>
      <name val="Tahoma"/>
      <family val="2"/>
    </font>
    <font>
      <b/>
      <sz val="8"/>
      <color indexed="8"/>
      <name val="Tahoma"/>
      <family val="2"/>
    </font>
    <font>
      <b/>
      <u/>
      <sz val="8"/>
      <color indexed="8"/>
      <name val="Tahoma"/>
      <family val="2"/>
    </font>
    <font>
      <b/>
      <sz val="8"/>
      <color indexed="16"/>
      <name val="Tahoma"/>
      <family val="2"/>
    </font>
    <font>
      <strike/>
      <sz val="10"/>
      <name val="Arial"/>
      <family val="2"/>
    </font>
    <font>
      <b/>
      <i/>
      <sz val="8"/>
      <color indexed="8"/>
      <name val="Tahoma"/>
      <family val="2"/>
    </font>
    <font>
      <b/>
      <sz val="10"/>
      <color indexed="23"/>
      <name val="Arial"/>
      <family val="2"/>
    </font>
    <font>
      <b/>
      <sz val="6"/>
      <name val="Arial"/>
      <family val="2"/>
    </font>
    <font>
      <sz val="8"/>
      <color indexed="23"/>
      <name val="Arial"/>
      <family val="2"/>
    </font>
    <font>
      <b/>
      <sz val="10"/>
      <color indexed="23"/>
      <name val="Arial"/>
      <family val="2"/>
    </font>
    <font>
      <b/>
      <sz val="10"/>
      <color indexed="23"/>
      <name val="Arial"/>
      <family val="2"/>
    </font>
    <font>
      <sz val="10"/>
      <color indexed="23"/>
      <name val="Arial"/>
      <family val="2"/>
    </font>
    <font>
      <sz val="10"/>
      <color indexed="12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indexed="12"/>
      <name val="Tahoma"/>
      <family val="2"/>
    </font>
    <font>
      <i/>
      <sz val="8"/>
      <color indexed="12"/>
      <name val="Tahoma"/>
      <family val="2"/>
    </font>
    <font>
      <sz val="8"/>
      <color indexed="81"/>
      <name val="Tahoma"/>
      <family val="2"/>
    </font>
    <font>
      <i/>
      <sz val="8"/>
      <color indexed="81"/>
      <name val="Tahoma"/>
      <family val="2"/>
    </font>
    <font>
      <b/>
      <sz val="10"/>
      <color indexed="53"/>
      <name val="Arial"/>
      <family val="2"/>
    </font>
    <font>
      <b/>
      <u/>
      <sz val="12"/>
      <name val="Arial"/>
      <family val="2"/>
    </font>
    <font>
      <b/>
      <i/>
      <sz val="10"/>
      <name val="Arial"/>
      <family val="2"/>
    </font>
    <font>
      <b/>
      <sz val="8"/>
      <color indexed="81"/>
      <name val="Tahoma"/>
      <family val="2"/>
    </font>
    <font>
      <b/>
      <sz val="10"/>
      <color rgb="FFFF0000"/>
      <name val="Arial"/>
      <family val="2"/>
    </font>
    <font>
      <b/>
      <sz val="10"/>
      <color rgb="FF808080"/>
      <name val="Arial"/>
      <family val="2"/>
    </font>
    <font>
      <sz val="10"/>
      <color rgb="FF808080"/>
      <name val="Arial"/>
      <family val="2"/>
    </font>
    <font>
      <sz val="8"/>
      <color rgb="FF808080"/>
      <name val="Arial"/>
      <family val="2"/>
    </font>
    <font>
      <sz val="8"/>
      <color theme="0"/>
      <name val="Arial"/>
      <family val="2"/>
    </font>
    <font>
      <sz val="10"/>
      <color rgb="FFFF0000"/>
      <name val="Arial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i/>
      <sz val="8"/>
      <color rgb="FF000000"/>
      <name val="Tahoma"/>
      <family val="2"/>
    </font>
    <font>
      <sz val="8"/>
      <color rgb="FFFF0000"/>
      <name val="Tahoma"/>
      <family val="2"/>
    </font>
    <font>
      <i/>
      <sz val="8"/>
      <color rgb="FFFF0000"/>
      <name val="Tahoma"/>
      <family val="2"/>
    </font>
    <font>
      <b/>
      <sz val="8"/>
      <color rgb="FF800000"/>
      <name val="Tahoma"/>
      <family val="2"/>
    </font>
    <font>
      <i/>
      <sz val="8"/>
      <color rgb="FF80000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3"/>
        <bgColor indexed="42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indexed="44"/>
        <bgColor indexed="27"/>
      </patternFill>
    </fill>
    <fill>
      <patternFill patternType="solid">
        <fgColor indexed="44"/>
        <b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27"/>
      </patternFill>
    </fill>
    <fill>
      <patternFill patternType="solid">
        <fgColor indexed="47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44"/>
      </patternFill>
    </fill>
    <fill>
      <patternFill patternType="solid">
        <fgColor indexed="26"/>
        <bgColor indexed="41"/>
      </patternFill>
    </fill>
    <fill>
      <patternFill patternType="solid">
        <fgColor indexed="42"/>
        <bgColor indexed="41"/>
      </patternFill>
    </fill>
    <fill>
      <patternFill patternType="solid">
        <fgColor indexed="43"/>
        <bgColor indexed="41"/>
      </patternFill>
    </fill>
    <fill>
      <patternFill patternType="solid">
        <fgColor indexed="8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rgb="FFCCFFFF"/>
        <bgColor indexed="41"/>
      </patternFill>
    </fill>
    <fill>
      <patternFill patternType="solid">
        <fgColor rgb="FF99CCFF"/>
        <bgColor indexed="31"/>
      </patternFill>
    </fill>
    <fill>
      <patternFill patternType="solid">
        <fgColor rgb="FFCCFFFF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CCFFCC"/>
        <bgColor indexed="41"/>
      </patternFill>
    </fill>
    <fill>
      <patternFill patternType="solid">
        <fgColor rgb="FFFFCC99"/>
        <bgColor indexed="31"/>
      </patternFill>
    </fill>
    <fill>
      <patternFill patternType="solid">
        <fgColor rgb="FF99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42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42"/>
      </patternFill>
    </fill>
  </fills>
  <borders count="103">
    <border>
      <left/>
      <right/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11"/>
      </left>
      <right style="thick">
        <color indexed="11"/>
      </right>
      <top style="thick">
        <color indexed="11"/>
      </top>
      <bottom style="thick">
        <color indexed="11"/>
      </bottom>
      <diagonal/>
    </border>
    <border>
      <left style="thick">
        <color indexed="11"/>
      </left>
      <right style="thick">
        <color indexed="57"/>
      </right>
      <top style="thick">
        <color indexed="57"/>
      </top>
      <bottom style="thick">
        <color indexed="57"/>
      </bottom>
      <diagonal/>
    </border>
    <border>
      <left style="thick">
        <color indexed="57"/>
      </left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23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20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ck">
        <color indexed="18"/>
      </bottom>
      <diagonal/>
    </border>
    <border>
      <left/>
      <right style="thick">
        <color indexed="18"/>
      </right>
      <top style="thick">
        <color indexed="18"/>
      </top>
      <bottom style="thick">
        <color indexed="18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ck">
        <color indexed="1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20"/>
      </left>
      <right/>
      <top style="thick">
        <color indexed="20"/>
      </top>
      <bottom style="thick">
        <color indexed="20"/>
      </bottom>
      <diagonal/>
    </border>
    <border>
      <left/>
      <right style="thick">
        <color indexed="20"/>
      </right>
      <top style="thick">
        <color indexed="20"/>
      </top>
      <bottom style="thick">
        <color indexed="20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 style="thin">
        <color indexed="23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23"/>
      </top>
      <bottom style="thin">
        <color indexed="8"/>
      </bottom>
      <diagonal/>
    </border>
    <border>
      <left/>
      <right style="thin">
        <color indexed="8"/>
      </right>
      <top style="thin">
        <color indexed="2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23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" fillId="0" borderId="0"/>
  </cellStyleXfs>
  <cellXfs count="67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2" fontId="0" fillId="2" borderId="0" xfId="0" applyNumberFormat="1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9" fillId="0" borderId="0" xfId="0" applyFont="1"/>
    <xf numFmtId="0" fontId="10" fillId="0" borderId="0" xfId="1" applyNumberFormat="1" applyFill="1" applyBorder="1" applyAlignment="1" applyProtection="1"/>
    <xf numFmtId="14" fontId="0" fillId="0" borderId="0" xfId="0" applyNumberFormat="1" applyAlignment="1">
      <alignment horizontal="left"/>
    </xf>
    <xf numFmtId="171" fontId="2" fillId="3" borderId="2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Font="1" applyAlignment="1">
      <alignment vertical="center"/>
    </xf>
    <xf numFmtId="0" fontId="2" fillId="0" borderId="3" xfId="2" applyFont="1" applyBorder="1"/>
    <xf numFmtId="0" fontId="2" fillId="0" borderId="4" xfId="2" applyFont="1" applyBorder="1"/>
    <xf numFmtId="0" fontId="2" fillId="0" borderId="4" xfId="2" applyFont="1" applyBorder="1" applyAlignment="1">
      <alignment horizontal="center"/>
    </xf>
    <xf numFmtId="0" fontId="15" fillId="0" borderId="4" xfId="2" applyFont="1" applyBorder="1" applyProtection="1">
      <protection hidden="1"/>
    </xf>
    <xf numFmtId="0" fontId="1" fillId="0" borderId="5" xfId="2" applyBorder="1"/>
    <xf numFmtId="0" fontId="2" fillId="0" borderId="0" xfId="2" applyFont="1"/>
    <xf numFmtId="0" fontId="2" fillId="0" borderId="6" xfId="2" applyFont="1" applyBorder="1"/>
    <xf numFmtId="0" fontId="15" fillId="0" borderId="0" xfId="2" applyFont="1" applyProtection="1">
      <protection hidden="1"/>
    </xf>
    <xf numFmtId="0" fontId="1" fillId="0" borderId="7" xfId="2" applyBorder="1"/>
    <xf numFmtId="0" fontId="4" fillId="0" borderId="0" xfId="2" applyFont="1"/>
    <xf numFmtId="0" fontId="2" fillId="0" borderId="7" xfId="2" applyFont="1" applyBorder="1"/>
    <xf numFmtId="0" fontId="2" fillId="0" borderId="0" xfId="2" applyFont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0" fontId="16" fillId="0" borderId="0" xfId="2" applyFont="1"/>
    <xf numFmtId="0" fontId="2" fillId="0" borderId="0" xfId="2" applyFont="1" applyProtection="1">
      <protection hidden="1"/>
    </xf>
    <xf numFmtId="0" fontId="15" fillId="4" borderId="8" xfId="2" applyFont="1" applyFill="1" applyBorder="1" applyAlignment="1" applyProtection="1">
      <alignment horizontal="center"/>
      <protection locked="0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0" fontId="2" fillId="4" borderId="2" xfId="2" applyFont="1" applyFill="1" applyBorder="1" applyAlignment="1" applyProtection="1">
      <alignment horizontal="center"/>
      <protection locked="0"/>
    </xf>
    <xf numFmtId="0" fontId="16" fillId="0" borderId="0" xfId="2" applyFont="1" applyProtection="1">
      <protection hidden="1"/>
    </xf>
    <xf numFmtId="0" fontId="15" fillId="0" borderId="0" xfId="2" applyFont="1"/>
    <xf numFmtId="14" fontId="15" fillId="0" borderId="0" xfId="2" applyNumberFormat="1" applyFont="1" applyAlignment="1" applyProtection="1">
      <alignment horizontal="center"/>
      <protection hidden="1"/>
    </xf>
    <xf numFmtId="0" fontId="2" fillId="0" borderId="9" xfId="2" applyFont="1" applyBorder="1"/>
    <xf numFmtId="0" fontId="2" fillId="0" borderId="10" xfId="2" applyFont="1" applyBorder="1" applyAlignment="1" applyProtection="1">
      <alignment horizontal="center"/>
      <protection locked="0"/>
    </xf>
    <xf numFmtId="0" fontId="2" fillId="0" borderId="10" xfId="2" applyFont="1" applyBorder="1" applyProtection="1">
      <protection locked="0"/>
    </xf>
    <xf numFmtId="0" fontId="2" fillId="0" borderId="0" xfId="2" applyFont="1" applyProtection="1">
      <protection locked="0"/>
    </xf>
    <xf numFmtId="0" fontId="2" fillId="0" borderId="0" xfId="2" applyFont="1" applyAlignment="1" applyProtection="1">
      <alignment horizontal="center"/>
      <protection locked="0"/>
    </xf>
    <xf numFmtId="0" fontId="15" fillId="0" borderId="0" xfId="2" applyFont="1" applyAlignment="1" applyProtection="1">
      <alignment horizontal="center"/>
      <protection hidden="1"/>
    </xf>
    <xf numFmtId="1" fontId="15" fillId="0" borderId="0" xfId="2" applyNumberFormat="1" applyFont="1" applyAlignment="1" applyProtection="1">
      <alignment horizontal="center"/>
      <protection hidden="1"/>
    </xf>
    <xf numFmtId="0" fontId="0" fillId="0" borderId="0" xfId="0" applyAlignment="1">
      <alignment horizontal="left"/>
    </xf>
    <xf numFmtId="0" fontId="15" fillId="0" borderId="0" xfId="0" applyFont="1"/>
    <xf numFmtId="0" fontId="23" fillId="0" borderId="0" xfId="0" applyFont="1"/>
    <xf numFmtId="14" fontId="0" fillId="0" borderId="0" xfId="0" applyNumberFormat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4" xfId="0" applyFont="1" applyBorder="1" applyAlignment="1">
      <alignment horizont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" fillId="0" borderId="6" xfId="0" applyFont="1" applyBorder="1"/>
    <xf numFmtId="0" fontId="2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hidden="1"/>
    </xf>
    <xf numFmtId="169" fontId="0" fillId="0" borderId="0" xfId="0" applyNumberFormat="1" applyAlignment="1" applyProtection="1">
      <alignment vertical="center"/>
      <protection hidden="1"/>
    </xf>
    <xf numFmtId="164" fontId="0" fillId="3" borderId="11" xfId="0" applyNumberFormat="1" applyFill="1" applyBorder="1" applyAlignment="1">
      <alignment horizontal="center"/>
    </xf>
    <xf numFmtId="178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5" fillId="0" borderId="10" xfId="2" applyFont="1" applyBorder="1" applyProtection="1">
      <protection locked="0"/>
    </xf>
    <xf numFmtId="0" fontId="10" fillId="0" borderId="0" xfId="1"/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5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82" fontId="2" fillId="0" borderId="12" xfId="0" applyNumberFormat="1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 vertical="center"/>
    </xf>
    <xf numFmtId="165" fontId="2" fillId="0" borderId="12" xfId="0" applyNumberFormat="1" applyFont="1" applyBorder="1" applyAlignment="1">
      <alignment horizontal="center"/>
    </xf>
    <xf numFmtId="0" fontId="0" fillId="0" borderId="0" xfId="2" applyFont="1" applyAlignment="1" applyProtection="1">
      <alignment horizontal="center"/>
      <protection hidden="1"/>
    </xf>
    <xf numFmtId="0" fontId="8" fillId="0" borderId="4" xfId="2" applyFont="1" applyBorder="1"/>
    <xf numFmtId="0" fontId="8" fillId="0" borderId="0" xfId="2" applyFont="1"/>
    <xf numFmtId="0" fontId="8" fillId="0" borderId="0" xfId="2" applyFont="1" applyProtection="1">
      <protection hidden="1"/>
    </xf>
    <xf numFmtId="0" fontId="8" fillId="0" borderId="10" xfId="2" applyFont="1" applyBorder="1" applyProtection="1">
      <protection locked="0"/>
    </xf>
    <xf numFmtId="0" fontId="8" fillId="0" borderId="0" xfId="2" applyFont="1" applyAlignment="1" applyProtection="1">
      <alignment horizontal="center"/>
      <protection hidden="1"/>
    </xf>
    <xf numFmtId="1" fontId="8" fillId="0" borderId="0" xfId="2" applyNumberFormat="1" applyFont="1" applyAlignment="1" applyProtection="1">
      <alignment horizontal="center"/>
      <protection hidden="1"/>
    </xf>
    <xf numFmtId="0" fontId="28" fillId="0" borderId="0" xfId="2" applyFont="1"/>
    <xf numFmtId="0" fontId="0" fillId="0" borderId="0" xfId="0" applyProtection="1">
      <protection locked="0"/>
    </xf>
    <xf numFmtId="165" fontId="2" fillId="5" borderId="14" xfId="2" applyNumberFormat="1" applyFont="1" applyFill="1" applyBorder="1" applyAlignment="1">
      <alignment horizontal="center"/>
    </xf>
    <xf numFmtId="180" fontId="2" fillId="5" borderId="2" xfId="2" applyNumberFormat="1" applyFont="1" applyFill="1" applyBorder="1" applyAlignment="1">
      <alignment horizontal="center"/>
    </xf>
    <xf numFmtId="180" fontId="2" fillId="5" borderId="14" xfId="2" applyNumberFormat="1" applyFont="1" applyFill="1" applyBorder="1" applyAlignment="1">
      <alignment horizontal="center"/>
    </xf>
    <xf numFmtId="165" fontId="2" fillId="5" borderId="2" xfId="2" applyNumberFormat="1" applyFont="1" applyFill="1" applyBorder="1" applyAlignment="1">
      <alignment horizontal="center"/>
    </xf>
    <xf numFmtId="181" fontId="25" fillId="5" borderId="2" xfId="2" applyNumberFormat="1" applyFont="1" applyFill="1" applyBorder="1" applyAlignment="1">
      <alignment horizontal="center"/>
    </xf>
    <xf numFmtId="181" fontId="25" fillId="5" borderId="14" xfId="2" applyNumberFormat="1" applyFont="1" applyFill="1" applyBorder="1" applyAlignment="1">
      <alignment horizontal="center"/>
    </xf>
    <xf numFmtId="0" fontId="2" fillId="5" borderId="2" xfId="2" applyFont="1" applyFill="1" applyBorder="1" applyAlignment="1" applyProtection="1">
      <alignment horizontal="center"/>
      <protection hidden="1"/>
    </xf>
    <xf numFmtId="0" fontId="25" fillId="5" borderId="2" xfId="2" applyFont="1" applyFill="1" applyBorder="1" applyAlignment="1" applyProtection="1">
      <alignment horizontal="center"/>
      <protection hidden="1"/>
    </xf>
    <xf numFmtId="0" fontId="29" fillId="5" borderId="2" xfId="2" applyFont="1" applyFill="1" applyBorder="1" applyAlignment="1" applyProtection="1">
      <alignment horizontal="center"/>
      <protection hidden="1"/>
    </xf>
    <xf numFmtId="0" fontId="2" fillId="6" borderId="2" xfId="2" applyFont="1" applyFill="1" applyBorder="1" applyAlignment="1">
      <alignment horizontal="center"/>
    </xf>
    <xf numFmtId="0" fontId="25" fillId="6" borderId="2" xfId="2" applyFont="1" applyFill="1" applyBorder="1" applyAlignment="1">
      <alignment horizontal="center"/>
    </xf>
    <xf numFmtId="0" fontId="30" fillId="0" borderId="0" xfId="2" applyFont="1"/>
    <xf numFmtId="0" fontId="30" fillId="6" borderId="2" xfId="2" applyFont="1" applyFill="1" applyBorder="1" applyAlignment="1" applyProtection="1">
      <alignment horizontal="center"/>
      <protection hidden="1"/>
    </xf>
    <xf numFmtId="176" fontId="30" fillId="5" borderId="2" xfId="2" applyNumberFormat="1" applyFont="1" applyFill="1" applyBorder="1" applyAlignment="1" applyProtection="1">
      <alignment horizontal="center"/>
      <protection hidden="1"/>
    </xf>
    <xf numFmtId="0" fontId="30" fillId="5" borderId="2" xfId="2" applyFont="1" applyFill="1" applyBorder="1" applyAlignment="1">
      <alignment horizontal="center"/>
    </xf>
    <xf numFmtId="177" fontId="30" fillId="5" borderId="2" xfId="2" applyNumberFormat="1" applyFont="1" applyFill="1" applyBorder="1" applyAlignment="1" applyProtection="1">
      <alignment horizontal="center"/>
      <protection hidden="1"/>
    </xf>
    <xf numFmtId="176" fontId="30" fillId="5" borderId="2" xfId="2" applyNumberFormat="1" applyFont="1" applyFill="1" applyBorder="1" applyAlignment="1">
      <alignment horizontal="center"/>
    </xf>
    <xf numFmtId="178" fontId="30" fillId="5" borderId="2" xfId="2" applyNumberFormat="1" applyFont="1" applyFill="1" applyBorder="1" applyAlignment="1" applyProtection="1">
      <alignment horizontal="center"/>
      <protection hidden="1"/>
    </xf>
    <xf numFmtId="0" fontId="30" fillId="0" borderId="0" xfId="2" applyFont="1" applyProtection="1">
      <protection hidden="1"/>
    </xf>
    <xf numFmtId="2" fontId="0" fillId="7" borderId="15" xfId="0" applyNumberFormat="1" applyFill="1" applyBorder="1" applyAlignment="1">
      <alignment horizontal="center" vertical="center"/>
    </xf>
    <xf numFmtId="165" fontId="0" fillId="7" borderId="15" xfId="0" applyNumberFormat="1" applyFill="1" applyBorder="1" applyAlignment="1">
      <alignment horizontal="center" vertical="center"/>
    </xf>
    <xf numFmtId="1" fontId="2" fillId="7" borderId="15" xfId="0" applyNumberFormat="1" applyFont="1" applyFill="1" applyBorder="1" applyAlignment="1">
      <alignment horizontal="center" vertical="center"/>
    </xf>
    <xf numFmtId="165" fontId="2" fillId="7" borderId="15" xfId="0" applyNumberFormat="1" applyFont="1" applyFill="1" applyBorder="1" applyAlignment="1">
      <alignment horizontal="center" vertical="center"/>
    </xf>
    <xf numFmtId="1" fontId="0" fillId="7" borderId="15" xfId="0" applyNumberFormat="1" applyFill="1" applyBorder="1" applyAlignment="1">
      <alignment horizontal="center" vertical="center"/>
    </xf>
    <xf numFmtId="1" fontId="15" fillId="7" borderId="15" xfId="0" applyNumberFormat="1" applyFont="1" applyFill="1" applyBorder="1" applyAlignment="1">
      <alignment horizontal="center" vertical="center"/>
    </xf>
    <xf numFmtId="165" fontId="15" fillId="7" borderId="15" xfId="0" applyNumberFormat="1" applyFon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165" fontId="15" fillId="7" borderId="16" xfId="0" applyNumberFormat="1" applyFont="1" applyFill="1" applyBorder="1" applyAlignment="1">
      <alignment horizontal="center" vertical="center"/>
    </xf>
    <xf numFmtId="1" fontId="2" fillId="7" borderId="17" xfId="0" applyNumberFormat="1" applyFont="1" applyFill="1" applyBorder="1" applyAlignment="1">
      <alignment horizontal="center" vertical="center"/>
    </xf>
    <xf numFmtId="1" fontId="0" fillId="7" borderId="17" xfId="0" applyNumberFormat="1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" fontId="15" fillId="7" borderId="16" xfId="0" applyNumberFormat="1" applyFont="1" applyFill="1" applyBorder="1" applyAlignment="1">
      <alignment horizontal="center" vertical="center"/>
    </xf>
    <xf numFmtId="1" fontId="15" fillId="7" borderId="17" xfId="0" applyNumberFormat="1" applyFont="1" applyFill="1" applyBorder="1" applyAlignment="1">
      <alignment horizontal="center" vertical="center"/>
    </xf>
    <xf numFmtId="165" fontId="2" fillId="7" borderId="17" xfId="0" applyNumberFormat="1" applyFont="1" applyFill="1" applyBorder="1" applyAlignment="1">
      <alignment horizontal="center" vertical="center"/>
    </xf>
    <xf numFmtId="173" fontId="2" fillId="7" borderId="2" xfId="0" applyNumberFormat="1" applyFont="1" applyFill="1" applyBorder="1" applyAlignment="1">
      <alignment horizontal="center" vertical="center"/>
    </xf>
    <xf numFmtId="0" fontId="2" fillId="8" borderId="18" xfId="0" applyFont="1" applyFill="1" applyBorder="1" applyAlignment="1" applyProtection="1">
      <alignment horizontal="center" vertical="center"/>
      <protection hidden="1"/>
    </xf>
    <xf numFmtId="0" fontId="2" fillId="9" borderId="15" xfId="0" applyFont="1" applyFill="1" applyBorder="1" applyAlignment="1" applyProtection="1">
      <alignment horizontal="center" vertical="center"/>
      <protection hidden="1"/>
    </xf>
    <xf numFmtId="0" fontId="5" fillId="9" borderId="15" xfId="0" applyFont="1" applyFill="1" applyBorder="1" applyAlignment="1" applyProtection="1">
      <alignment horizontal="center" vertical="center"/>
      <protection hidden="1"/>
    </xf>
    <xf numFmtId="0" fontId="0" fillId="9" borderId="15" xfId="0" applyFill="1" applyBorder="1" applyAlignment="1" applyProtection="1">
      <alignment horizontal="center" vertical="center"/>
      <protection hidden="1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2" fillId="11" borderId="15" xfId="0" applyFont="1" applyFill="1" applyBorder="1" applyAlignment="1" applyProtection="1">
      <alignment horizontal="center" vertical="center"/>
      <protection hidden="1"/>
    </xf>
    <xf numFmtId="0" fontId="2" fillId="11" borderId="18" xfId="0" applyFont="1" applyFill="1" applyBorder="1" applyAlignment="1" applyProtection="1">
      <alignment horizontal="center" vertical="center"/>
      <protection hidden="1"/>
    </xf>
    <xf numFmtId="0" fontId="13" fillId="12" borderId="2" xfId="0" applyFont="1" applyFill="1" applyBorder="1" applyAlignment="1" applyProtection="1">
      <alignment horizontal="center"/>
      <protection hidden="1"/>
    </xf>
    <xf numFmtId="0" fontId="2" fillId="13" borderId="2" xfId="0" applyFont="1" applyFill="1" applyBorder="1" applyAlignment="1" applyProtection="1">
      <alignment horizontal="center" vertical="center"/>
      <protection locked="0"/>
    </xf>
    <xf numFmtId="174" fontId="2" fillId="13" borderId="2" xfId="0" applyNumberFormat="1" applyFont="1" applyFill="1" applyBorder="1" applyAlignment="1" applyProtection="1">
      <alignment horizontal="center" vertical="center"/>
      <protection locked="0"/>
    </xf>
    <xf numFmtId="178" fontId="14" fillId="14" borderId="2" xfId="2" applyNumberFormat="1" applyFont="1" applyFill="1" applyBorder="1" applyAlignment="1">
      <alignment horizontal="center"/>
    </xf>
    <xf numFmtId="1" fontId="27" fillId="14" borderId="2" xfId="2" applyNumberFormat="1" applyFont="1" applyFill="1" applyBorder="1" applyAlignment="1">
      <alignment horizontal="center"/>
    </xf>
    <xf numFmtId="0" fontId="2" fillId="10" borderId="2" xfId="2" applyFont="1" applyFill="1" applyBorder="1" applyAlignment="1">
      <alignment horizontal="center"/>
    </xf>
    <xf numFmtId="0" fontId="0" fillId="7" borderId="15" xfId="0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0" fillId="13" borderId="15" xfId="0" applyFill="1" applyBorder="1" applyAlignment="1" applyProtection="1">
      <alignment horizontal="center" vertical="center"/>
      <protection locked="0"/>
    </xf>
    <xf numFmtId="185" fontId="2" fillId="7" borderId="2" xfId="0" applyNumberFormat="1" applyFont="1" applyFill="1" applyBorder="1" applyAlignment="1">
      <alignment horizontal="center" vertical="center"/>
    </xf>
    <xf numFmtId="186" fontId="0" fillId="7" borderId="16" xfId="0" applyNumberFormat="1" applyFill="1" applyBorder="1" applyAlignment="1">
      <alignment horizontal="center" vertical="center"/>
    </xf>
    <xf numFmtId="186" fontId="2" fillId="7" borderId="15" xfId="0" applyNumberFormat="1" applyFont="1" applyFill="1" applyBorder="1" applyAlignment="1">
      <alignment horizontal="center" vertical="center"/>
    </xf>
    <xf numFmtId="175" fontId="15" fillId="7" borderId="16" xfId="0" applyNumberFormat="1" applyFont="1" applyFill="1" applyBorder="1" applyAlignment="1">
      <alignment horizontal="center" vertical="center"/>
    </xf>
    <xf numFmtId="175" fontId="15" fillId="7" borderId="15" xfId="0" applyNumberFormat="1" applyFont="1" applyFill="1" applyBorder="1" applyAlignment="1">
      <alignment horizontal="center" vertical="center"/>
    </xf>
    <xf numFmtId="175" fontId="2" fillId="7" borderId="16" xfId="0" applyNumberFormat="1" applyFont="1" applyFill="1" applyBorder="1" applyAlignment="1">
      <alignment horizontal="center" vertical="center"/>
    </xf>
    <xf numFmtId="175" fontId="2" fillId="7" borderId="15" xfId="0" applyNumberFormat="1" applyFont="1" applyFill="1" applyBorder="1" applyAlignment="1">
      <alignment horizontal="center" vertical="center"/>
    </xf>
    <xf numFmtId="172" fontId="2" fillId="7" borderId="15" xfId="0" applyNumberFormat="1" applyFont="1" applyFill="1" applyBorder="1" applyAlignment="1">
      <alignment horizontal="center" vertical="center"/>
    </xf>
    <xf numFmtId="172" fontId="2" fillId="7" borderId="16" xfId="0" applyNumberFormat="1" applyFont="1" applyFill="1" applyBorder="1" applyAlignment="1">
      <alignment horizontal="center" vertical="center"/>
    </xf>
    <xf numFmtId="172" fontId="15" fillId="7" borderId="15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2" fillId="11" borderId="24" xfId="0" applyFont="1" applyFill="1" applyBorder="1" applyAlignment="1" applyProtection="1">
      <alignment horizontal="center" vertical="center"/>
      <protection hidden="1"/>
    </xf>
    <xf numFmtId="178" fontId="2" fillId="3" borderId="25" xfId="0" applyNumberFormat="1" applyFont="1" applyFill="1" applyBorder="1" applyAlignment="1" applyProtection="1">
      <alignment horizontal="center" vertical="center"/>
      <protection locked="0"/>
    </xf>
    <xf numFmtId="178" fontId="2" fillId="3" borderId="26" xfId="0" applyNumberFormat="1" applyFont="1" applyFill="1" applyBorder="1" applyAlignment="1" applyProtection="1">
      <alignment horizontal="center" vertical="center"/>
      <protection locked="0"/>
    </xf>
    <xf numFmtId="0" fontId="2" fillId="8" borderId="24" xfId="0" applyFont="1" applyFill="1" applyBorder="1" applyAlignment="1" applyProtection="1">
      <alignment horizontal="center" vertical="center"/>
      <protection hidden="1"/>
    </xf>
    <xf numFmtId="0" fontId="2" fillId="9" borderId="27" xfId="0" applyFont="1" applyFill="1" applyBorder="1" applyAlignment="1" applyProtection="1">
      <alignment horizontal="center" vertical="center"/>
      <protection hidden="1"/>
    </xf>
    <xf numFmtId="0" fontId="0" fillId="9" borderId="27" xfId="0" applyFill="1" applyBorder="1" applyAlignment="1" applyProtection="1">
      <alignment horizontal="center" vertical="center"/>
      <protection hidden="1"/>
    </xf>
    <xf numFmtId="0" fontId="2" fillId="0" borderId="21" xfId="0" applyFont="1" applyBorder="1" applyAlignment="1">
      <alignment vertical="center"/>
    </xf>
    <xf numFmtId="14" fontId="0" fillId="0" borderId="23" xfId="0" applyNumberFormat="1" applyBorder="1" applyAlignment="1">
      <alignment horizontal="center" vertical="center"/>
    </xf>
    <xf numFmtId="189" fontId="2" fillId="7" borderId="25" xfId="0" applyNumberFormat="1" applyFont="1" applyFill="1" applyBorder="1" applyAlignment="1">
      <alignment horizontal="center" vertical="center"/>
    </xf>
    <xf numFmtId="0" fontId="31" fillId="6" borderId="2" xfId="2" applyFont="1" applyFill="1" applyBorder="1" applyAlignment="1" applyProtection="1">
      <alignment horizontal="center"/>
      <protection hidden="1"/>
    </xf>
    <xf numFmtId="178" fontId="31" fillId="5" borderId="2" xfId="2" applyNumberFormat="1" applyFont="1" applyFill="1" applyBorder="1" applyAlignment="1">
      <alignment horizontal="center"/>
    </xf>
    <xf numFmtId="177" fontId="2" fillId="4" borderId="25" xfId="2" applyNumberFormat="1" applyFont="1" applyFill="1" applyBorder="1" applyAlignment="1" applyProtection="1">
      <alignment horizontal="center"/>
      <protection locked="0"/>
    </xf>
    <xf numFmtId="0" fontId="2" fillId="10" borderId="28" xfId="2" applyFont="1" applyFill="1" applyBorder="1" applyAlignment="1" applyProtection="1">
      <alignment horizontal="center"/>
      <protection hidden="1"/>
    </xf>
    <xf numFmtId="0" fontId="2" fillId="10" borderId="29" xfId="2" applyFont="1" applyFill="1" applyBorder="1" applyAlignment="1" applyProtection="1">
      <alignment horizontal="center"/>
      <protection hidden="1"/>
    </xf>
    <xf numFmtId="0" fontId="33" fillId="10" borderId="30" xfId="2" applyFont="1" applyFill="1" applyBorder="1" applyAlignment="1" applyProtection="1">
      <alignment horizontal="center"/>
      <protection hidden="1"/>
    </xf>
    <xf numFmtId="0" fontId="0" fillId="0" borderId="10" xfId="0" applyBorder="1" applyAlignment="1">
      <alignment vertical="center"/>
    </xf>
    <xf numFmtId="0" fontId="15" fillId="0" borderId="10" xfId="2" applyFont="1" applyBorder="1"/>
    <xf numFmtId="0" fontId="15" fillId="0" borderId="31" xfId="2" applyFont="1" applyBorder="1" applyAlignment="1" applyProtection="1">
      <alignment horizontal="center"/>
      <protection hidden="1"/>
    </xf>
    <xf numFmtId="0" fontId="15" fillId="0" borderId="32" xfId="2" applyFont="1" applyBorder="1" applyAlignment="1">
      <alignment horizontal="center"/>
    </xf>
    <xf numFmtId="0" fontId="15" fillId="0" borderId="19" xfId="2" applyFont="1" applyBorder="1" applyAlignment="1" applyProtection="1">
      <alignment horizontal="center"/>
      <protection hidden="1"/>
    </xf>
    <xf numFmtId="0" fontId="15" fillId="0" borderId="20" xfId="2" applyFont="1" applyBorder="1" applyAlignment="1">
      <alignment horizontal="center"/>
    </xf>
    <xf numFmtId="0" fontId="15" fillId="0" borderId="21" xfId="2" applyFont="1" applyBorder="1" applyAlignment="1" applyProtection="1">
      <alignment horizontal="center"/>
      <protection hidden="1"/>
    </xf>
    <xf numFmtId="0" fontId="15" fillId="0" borderId="23" xfId="2" applyFont="1" applyBorder="1" applyAlignment="1">
      <alignment horizontal="center"/>
    </xf>
    <xf numFmtId="0" fontId="15" fillId="0" borderId="20" xfId="2" applyFont="1" applyBorder="1" applyAlignment="1" applyProtection="1">
      <alignment horizontal="center"/>
      <protection hidden="1"/>
    </xf>
    <xf numFmtId="0" fontId="15" fillId="0" borderId="23" xfId="2" applyFont="1" applyBorder="1" applyAlignment="1" applyProtection="1">
      <alignment horizontal="center"/>
      <protection hidden="1"/>
    </xf>
    <xf numFmtId="2" fontId="15" fillId="0" borderId="31" xfId="2" applyNumberFormat="1" applyFont="1" applyBorder="1" applyAlignment="1" applyProtection="1">
      <alignment horizontal="center"/>
      <protection hidden="1"/>
    </xf>
    <xf numFmtId="0" fontId="0" fillId="0" borderId="31" xfId="2" applyFont="1" applyBorder="1" applyAlignment="1" applyProtection="1">
      <alignment horizontal="center"/>
      <protection hidden="1"/>
    </xf>
    <xf numFmtId="0" fontId="0" fillId="0" borderId="33" xfId="2" applyFont="1" applyBorder="1" applyAlignment="1" applyProtection="1">
      <alignment horizontal="center"/>
      <protection hidden="1"/>
    </xf>
    <xf numFmtId="0" fontId="0" fillId="0" borderId="32" xfId="2" applyFont="1" applyBorder="1" applyAlignment="1" applyProtection="1">
      <alignment horizontal="center"/>
      <protection hidden="1"/>
    </xf>
    <xf numFmtId="0" fontId="0" fillId="0" borderId="19" xfId="2" applyFont="1" applyBorder="1" applyAlignment="1" applyProtection="1">
      <alignment horizontal="center"/>
      <protection hidden="1"/>
    </xf>
    <xf numFmtId="0" fontId="15" fillId="0" borderId="22" xfId="2" applyFont="1" applyBorder="1" applyAlignment="1" applyProtection="1">
      <alignment horizontal="center"/>
      <protection hidden="1"/>
    </xf>
    <xf numFmtId="1" fontId="15" fillId="0" borderId="33" xfId="2" applyNumberFormat="1" applyFont="1" applyBorder="1" applyAlignment="1" applyProtection="1">
      <alignment horizontal="center"/>
      <protection hidden="1"/>
    </xf>
    <xf numFmtId="1" fontId="8" fillId="0" borderId="32" xfId="2" applyNumberFormat="1" applyFont="1" applyBorder="1" applyAlignment="1" applyProtection="1">
      <alignment horizontal="center"/>
      <protection hidden="1"/>
    </xf>
    <xf numFmtId="1" fontId="8" fillId="0" borderId="20" xfId="2" applyNumberFormat="1" applyFont="1" applyBorder="1" applyAlignment="1" applyProtection="1">
      <alignment horizontal="center"/>
      <protection hidden="1"/>
    </xf>
    <xf numFmtId="1" fontId="15" fillId="0" borderId="22" xfId="2" applyNumberFormat="1" applyFont="1" applyBorder="1" applyAlignment="1" applyProtection="1">
      <alignment horizontal="center"/>
      <protection hidden="1"/>
    </xf>
    <xf numFmtId="1" fontId="8" fillId="0" borderId="23" xfId="2" applyNumberFormat="1" applyFont="1" applyBorder="1" applyAlignment="1" applyProtection="1">
      <alignment horizontal="center"/>
      <protection hidden="1"/>
    </xf>
    <xf numFmtId="0" fontId="15" fillId="0" borderId="33" xfId="2" applyFont="1" applyBorder="1" applyAlignment="1" applyProtection="1">
      <alignment horizontal="center"/>
      <protection hidden="1"/>
    </xf>
    <xf numFmtId="2" fontId="15" fillId="0" borderId="33" xfId="2" applyNumberFormat="1" applyFont="1" applyBorder="1" applyAlignment="1" applyProtection="1">
      <alignment horizontal="center"/>
      <protection hidden="1"/>
    </xf>
    <xf numFmtId="0" fontId="8" fillId="0" borderId="32" xfId="2" applyFont="1" applyBorder="1" applyAlignment="1" applyProtection="1">
      <alignment horizontal="center"/>
      <protection hidden="1"/>
    </xf>
    <xf numFmtId="0" fontId="8" fillId="0" borderId="20" xfId="2" applyFont="1" applyBorder="1" applyAlignment="1" applyProtection="1">
      <alignment horizontal="center"/>
      <protection hidden="1"/>
    </xf>
    <xf numFmtId="0" fontId="8" fillId="0" borderId="23" xfId="2" applyFont="1" applyBorder="1" applyAlignment="1" applyProtection="1">
      <alignment horizontal="center"/>
      <protection hidden="1"/>
    </xf>
    <xf numFmtId="1" fontId="15" fillId="0" borderId="32" xfId="2" applyNumberFormat="1" applyFont="1" applyBorder="1" applyAlignment="1" applyProtection="1">
      <alignment horizontal="center"/>
      <protection hidden="1"/>
    </xf>
    <xf numFmtId="1" fontId="15" fillId="0" borderId="20" xfId="2" applyNumberFormat="1" applyFont="1" applyBorder="1" applyAlignment="1" applyProtection="1">
      <alignment horizontal="center"/>
      <protection hidden="1"/>
    </xf>
    <xf numFmtId="1" fontId="15" fillId="0" borderId="23" xfId="2" applyNumberFormat="1" applyFont="1" applyBorder="1" applyAlignment="1" applyProtection="1">
      <alignment horizontal="center"/>
      <protection hidden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2" applyFont="1" applyBorder="1" applyAlignment="1" applyProtection="1">
      <alignment horizontal="center"/>
      <protection hidden="1"/>
    </xf>
    <xf numFmtId="165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4" fillId="15" borderId="8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right" vertical="center"/>
    </xf>
    <xf numFmtId="190" fontId="2" fillId="4" borderId="2" xfId="2" applyNumberFormat="1" applyFont="1" applyFill="1" applyBorder="1" applyAlignment="1" applyProtection="1">
      <alignment horizontal="center"/>
      <protection locked="0"/>
    </xf>
    <xf numFmtId="0" fontId="0" fillId="0" borderId="0" xfId="2" applyFont="1"/>
    <xf numFmtId="0" fontId="27" fillId="6" borderId="2" xfId="2" applyFont="1" applyFill="1" applyBorder="1" applyAlignment="1" applyProtection="1">
      <alignment horizontal="center"/>
      <protection hidden="1"/>
    </xf>
    <xf numFmtId="189" fontId="2" fillId="3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2" fillId="11" borderId="18" xfId="1" applyFont="1" applyFill="1" applyBorder="1" applyAlignment="1" applyProtection="1">
      <alignment horizontal="center" vertical="center"/>
      <protection hidden="1"/>
    </xf>
    <xf numFmtId="0" fontId="0" fillId="0" borderId="3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9" xfId="0" applyBorder="1" applyAlignment="1">
      <alignment horizontal="right" vertical="center"/>
    </xf>
    <xf numFmtId="2" fontId="0" fillId="0" borderId="20" xfId="0" applyNumberFormat="1" applyBorder="1" applyAlignment="1">
      <alignment horizontal="center" vertical="center"/>
    </xf>
    <xf numFmtId="0" fontId="0" fillId="0" borderId="21" xfId="0" applyBorder="1" applyAlignment="1">
      <alignment horizontal="right" vertical="center"/>
    </xf>
    <xf numFmtId="2" fontId="0" fillId="0" borderId="23" xfId="0" applyNumberFormat="1" applyBorder="1" applyAlignment="1">
      <alignment horizontal="center" vertical="center"/>
    </xf>
    <xf numFmtId="0" fontId="0" fillId="0" borderId="31" xfId="0" applyBorder="1" applyAlignment="1">
      <alignment horizontal="right" vertical="center"/>
    </xf>
    <xf numFmtId="2" fontId="0" fillId="0" borderId="32" xfId="0" applyNumberForma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1" fontId="2" fillId="0" borderId="23" xfId="0" applyNumberFormat="1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0" fontId="2" fillId="0" borderId="33" xfId="0" applyFont="1" applyBorder="1"/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0" fontId="2" fillId="0" borderId="20" xfId="0" applyFont="1" applyBorder="1"/>
    <xf numFmtId="165" fontId="2" fillId="0" borderId="20" xfId="0" applyNumberFormat="1" applyFont="1" applyBorder="1" applyAlignment="1">
      <alignment horizontal="center" vertical="center"/>
    </xf>
    <xf numFmtId="165" fontId="2" fillId="0" borderId="20" xfId="0" applyNumberFormat="1" applyFont="1" applyBorder="1" applyAlignment="1">
      <alignment horizontal="center"/>
    </xf>
    <xf numFmtId="0" fontId="2" fillId="0" borderId="22" xfId="0" applyFont="1" applyBorder="1"/>
    <xf numFmtId="165" fontId="2" fillId="0" borderId="22" xfId="0" applyNumberFormat="1" applyFont="1" applyBorder="1" applyAlignment="1">
      <alignment horizontal="center" vertical="center"/>
    </xf>
    <xf numFmtId="165" fontId="2" fillId="0" borderId="2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left"/>
    </xf>
    <xf numFmtId="0" fontId="2" fillId="4" borderId="0" xfId="0" applyFont="1" applyFill="1" applyAlignment="1" applyProtection="1">
      <alignment horizontal="center" vertical="center"/>
      <protection locked="0"/>
    </xf>
    <xf numFmtId="0" fontId="2" fillId="0" borderId="2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2" xfId="0" applyBorder="1" applyAlignment="1">
      <alignment horizontal="center"/>
    </xf>
    <xf numFmtId="1" fontId="2" fillId="0" borderId="22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/>
    </xf>
    <xf numFmtId="0" fontId="0" fillId="0" borderId="33" xfId="0" applyBorder="1"/>
    <xf numFmtId="0" fontId="0" fillId="0" borderId="32" xfId="0" applyBorder="1"/>
    <xf numFmtId="0" fontId="0" fillId="0" borderId="20" xfId="0" applyBorder="1"/>
    <xf numFmtId="0" fontId="2" fillId="4" borderId="20" xfId="0" applyFont="1" applyFill="1" applyBorder="1" applyAlignment="1" applyProtection="1">
      <alignment horizontal="center" vertical="center"/>
      <protection locked="0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26" fillId="0" borderId="20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22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4" borderId="23" xfId="0" applyFont="1" applyFill="1" applyBorder="1" applyAlignment="1" applyProtection="1">
      <alignment horizontal="center" vertical="center"/>
      <protection locked="0"/>
    </xf>
    <xf numFmtId="1" fontId="2" fillId="0" borderId="20" xfId="0" applyNumberFormat="1" applyFont="1" applyBorder="1" applyAlignment="1">
      <alignment horizontal="center"/>
    </xf>
    <xf numFmtId="165" fontId="2" fillId="0" borderId="22" xfId="0" applyNumberFormat="1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" fontId="2" fillId="0" borderId="20" xfId="0" applyNumberFormat="1" applyFont="1" applyBorder="1" applyAlignment="1">
      <alignment horizontal="center" vertical="center"/>
    </xf>
    <xf numFmtId="0" fontId="2" fillId="0" borderId="35" xfId="0" applyFont="1" applyBorder="1"/>
    <xf numFmtId="1" fontId="2" fillId="0" borderId="35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4" borderId="32" xfId="0" applyFont="1" applyFill="1" applyBorder="1" applyAlignment="1" applyProtection="1">
      <alignment horizontal="center" vertical="center"/>
      <protection locked="0"/>
    </xf>
    <xf numFmtId="0" fontId="2" fillId="0" borderId="23" xfId="0" applyFont="1" applyBorder="1"/>
    <xf numFmtId="0" fontId="27" fillId="0" borderId="13" xfId="0" applyFont="1" applyBorder="1" applyAlignment="1">
      <alignment horizontal="right" vertical="center"/>
    </xf>
    <xf numFmtId="0" fontId="27" fillId="0" borderId="13" xfId="2" applyFont="1" applyBorder="1" applyAlignment="1">
      <alignment horizontal="right"/>
    </xf>
    <xf numFmtId="2" fontId="0" fillId="16" borderId="31" xfId="0" applyNumberFormat="1" applyFill="1" applyBorder="1" applyAlignment="1">
      <alignment horizontal="center"/>
    </xf>
    <xf numFmtId="2" fontId="0" fillId="16" borderId="33" xfId="0" applyNumberFormat="1" applyFill="1" applyBorder="1" applyAlignment="1">
      <alignment horizontal="center"/>
    </xf>
    <xf numFmtId="2" fontId="0" fillId="16" borderId="32" xfId="0" applyNumberFormat="1" applyFill="1" applyBorder="1" applyAlignment="1">
      <alignment horizontal="center"/>
    </xf>
    <xf numFmtId="0" fontId="0" fillId="16" borderId="31" xfId="0" applyFill="1" applyBorder="1" applyAlignment="1">
      <alignment horizontal="center"/>
    </xf>
    <xf numFmtId="0" fontId="0" fillId="16" borderId="33" xfId="0" applyFill="1" applyBorder="1" applyAlignment="1">
      <alignment horizontal="center"/>
    </xf>
    <xf numFmtId="0" fontId="0" fillId="16" borderId="32" xfId="0" applyFill="1" applyBorder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left"/>
    </xf>
    <xf numFmtId="2" fontId="9" fillId="0" borderId="0" xfId="0" applyNumberFormat="1" applyFont="1" applyAlignment="1">
      <alignment horizontal="left"/>
    </xf>
    <xf numFmtId="2" fontId="10" fillId="0" borderId="0" xfId="1" applyNumberFormat="1" applyAlignment="1">
      <alignment horizontal="left"/>
    </xf>
    <xf numFmtId="2" fontId="10" fillId="0" borderId="0" xfId="1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2" fontId="0" fillId="21" borderId="20" xfId="0" applyNumberFormat="1" applyFill="1" applyBorder="1" applyAlignment="1">
      <alignment horizontal="center"/>
    </xf>
    <xf numFmtId="2" fontId="0" fillId="21" borderId="23" xfId="0" applyNumberFormat="1" applyFill="1" applyBorder="1" applyAlignment="1">
      <alignment horizontal="center"/>
    </xf>
    <xf numFmtId="2" fontId="0" fillId="21" borderId="19" xfId="0" applyNumberFormat="1" applyFill="1" applyBorder="1" applyAlignment="1">
      <alignment horizontal="center"/>
    </xf>
    <xf numFmtId="2" fontId="0" fillId="21" borderId="0" xfId="0" applyNumberFormat="1" applyFill="1" applyAlignment="1">
      <alignment horizontal="center"/>
    </xf>
    <xf numFmtId="2" fontId="0" fillId="21" borderId="21" xfId="0" applyNumberFormat="1" applyFill="1" applyBorder="1" applyAlignment="1">
      <alignment horizontal="center"/>
    </xf>
    <xf numFmtId="2" fontId="0" fillId="21" borderId="22" xfId="0" applyNumberFormat="1" applyFill="1" applyBorder="1" applyAlignment="1">
      <alignment horizontal="center"/>
    </xf>
    <xf numFmtId="1" fontId="0" fillId="21" borderId="19" xfId="0" applyNumberFormat="1" applyFill="1" applyBorder="1" applyAlignment="1">
      <alignment horizontal="center"/>
    </xf>
    <xf numFmtId="2" fontId="0" fillId="21" borderId="26" xfId="0" applyNumberFormat="1" applyFill="1" applyBorder="1" applyAlignment="1">
      <alignment horizontal="center"/>
    </xf>
    <xf numFmtId="1" fontId="0" fillId="21" borderId="21" xfId="0" applyNumberFormat="1" applyFill="1" applyBorder="1" applyAlignment="1">
      <alignment horizontal="center"/>
    </xf>
    <xf numFmtId="2" fontId="0" fillId="21" borderId="25" xfId="0" applyNumberFormat="1" applyFill="1" applyBorder="1" applyAlignment="1">
      <alignment horizontal="center"/>
    </xf>
    <xf numFmtId="0" fontId="0" fillId="21" borderId="19" xfId="0" applyFill="1" applyBorder="1"/>
    <xf numFmtId="0" fontId="0" fillId="21" borderId="0" xfId="0" applyFill="1"/>
    <xf numFmtId="0" fontId="0" fillId="21" borderId="20" xfId="0" applyFill="1" applyBorder="1" applyAlignment="1">
      <alignment horizontal="center"/>
    </xf>
    <xf numFmtId="0" fontId="0" fillId="21" borderId="21" xfId="0" applyFill="1" applyBorder="1"/>
    <xf numFmtId="0" fontId="0" fillId="21" borderId="22" xfId="0" applyFill="1" applyBorder="1"/>
    <xf numFmtId="0" fontId="0" fillId="21" borderId="23" xfId="0" applyFill="1" applyBorder="1" applyAlignment="1">
      <alignment horizontal="center"/>
    </xf>
    <xf numFmtId="1" fontId="0" fillId="21" borderId="31" xfId="0" applyNumberFormat="1" applyFill="1" applyBorder="1" applyAlignment="1">
      <alignment horizontal="center"/>
    </xf>
    <xf numFmtId="1" fontId="0" fillId="21" borderId="33" xfId="0" applyNumberFormat="1" applyFill="1" applyBorder="1" applyAlignment="1">
      <alignment horizontal="center"/>
    </xf>
    <xf numFmtId="1" fontId="0" fillId="21" borderId="32" xfId="0" applyNumberFormat="1" applyFill="1" applyBorder="1" applyAlignment="1">
      <alignment horizontal="center"/>
    </xf>
    <xf numFmtId="1" fontId="0" fillId="21" borderId="0" xfId="0" applyNumberFormat="1" applyFill="1" applyAlignment="1">
      <alignment horizontal="center"/>
    </xf>
    <xf numFmtId="1" fontId="0" fillId="21" borderId="20" xfId="0" applyNumberFormat="1" applyFill="1" applyBorder="1" applyAlignment="1">
      <alignment horizontal="center"/>
    </xf>
    <xf numFmtId="1" fontId="0" fillId="21" borderId="22" xfId="0" applyNumberFormat="1" applyFill="1" applyBorder="1" applyAlignment="1">
      <alignment horizontal="center"/>
    </xf>
    <xf numFmtId="1" fontId="0" fillId="21" borderId="23" xfId="0" applyNumberFormat="1" applyFill="1" applyBorder="1" applyAlignment="1">
      <alignment horizontal="center"/>
    </xf>
    <xf numFmtId="2" fontId="0" fillId="21" borderId="32" xfId="0" applyNumberFormat="1" applyFill="1" applyBorder="1" applyAlignment="1">
      <alignment horizontal="center"/>
    </xf>
    <xf numFmtId="2" fontId="0" fillId="21" borderId="24" xfId="0" applyNumberFormat="1" applyFill="1" applyBorder="1" applyAlignment="1">
      <alignment horizontal="center"/>
    </xf>
    <xf numFmtId="2" fontId="0" fillId="21" borderId="31" xfId="0" applyNumberFormat="1" applyFill="1" applyBorder="1" applyAlignment="1">
      <alignment horizontal="center"/>
    </xf>
    <xf numFmtId="0" fontId="0" fillId="22" borderId="36" xfId="0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0" fillId="22" borderId="38" xfId="0" applyFill="1" applyBorder="1" applyAlignment="1">
      <alignment horizontal="center"/>
    </xf>
    <xf numFmtId="0" fontId="0" fillId="22" borderId="39" xfId="0" applyFill="1" applyBorder="1" applyAlignment="1">
      <alignment horizontal="center"/>
    </xf>
    <xf numFmtId="0" fontId="0" fillId="22" borderId="40" xfId="0" applyFill="1" applyBorder="1" applyAlignment="1">
      <alignment horizontal="center"/>
    </xf>
    <xf numFmtId="0" fontId="0" fillId="22" borderId="41" xfId="0" applyFill="1" applyBorder="1" applyAlignment="1">
      <alignment horizontal="center"/>
    </xf>
    <xf numFmtId="0" fontId="0" fillId="22" borderId="42" xfId="0" applyFill="1" applyBorder="1" applyAlignment="1">
      <alignment horizontal="center"/>
    </xf>
    <xf numFmtId="0" fontId="0" fillId="22" borderId="43" xfId="0" applyFill="1" applyBorder="1" applyAlignment="1">
      <alignment horizontal="center"/>
    </xf>
    <xf numFmtId="0" fontId="0" fillId="22" borderId="44" xfId="0" applyFill="1" applyBorder="1" applyAlignment="1">
      <alignment horizontal="center"/>
    </xf>
    <xf numFmtId="0" fontId="0" fillId="22" borderId="45" xfId="0" applyFill="1" applyBorder="1" applyAlignment="1">
      <alignment horizontal="center"/>
    </xf>
    <xf numFmtId="0" fontId="0" fillId="22" borderId="46" xfId="0" applyFill="1" applyBorder="1" applyAlignment="1">
      <alignment horizontal="center"/>
    </xf>
    <xf numFmtId="0" fontId="0" fillId="22" borderId="47" xfId="0" applyFill="1" applyBorder="1" applyAlignment="1">
      <alignment horizontal="center"/>
    </xf>
    <xf numFmtId="0" fontId="0" fillId="22" borderId="48" xfId="0" applyFill="1" applyBorder="1" applyAlignment="1">
      <alignment horizontal="center"/>
    </xf>
    <xf numFmtId="0" fontId="0" fillId="22" borderId="49" xfId="0" applyFill="1" applyBorder="1" applyAlignment="1">
      <alignment horizontal="center"/>
    </xf>
    <xf numFmtId="0" fontId="0" fillId="22" borderId="50" xfId="0" applyFill="1" applyBorder="1" applyAlignment="1">
      <alignment horizontal="center"/>
    </xf>
    <xf numFmtId="0" fontId="8" fillId="22" borderId="36" xfId="0" applyFont="1" applyFill="1" applyBorder="1" applyAlignment="1">
      <alignment horizontal="center"/>
    </xf>
    <xf numFmtId="0" fontId="15" fillId="22" borderId="37" xfId="0" applyFont="1" applyFill="1" applyBorder="1" applyAlignment="1">
      <alignment horizontal="center"/>
    </xf>
    <xf numFmtId="2" fontId="0" fillId="23" borderId="19" xfId="0" applyNumberFormat="1" applyFill="1" applyBorder="1" applyAlignment="1">
      <alignment horizontal="center"/>
    </xf>
    <xf numFmtId="2" fontId="0" fillId="23" borderId="21" xfId="0" applyNumberFormat="1" applyFill="1" applyBorder="1" applyAlignment="1">
      <alignment horizontal="center"/>
    </xf>
    <xf numFmtId="2" fontId="0" fillId="24" borderId="32" xfId="0" applyNumberFormat="1" applyFill="1" applyBorder="1" applyAlignment="1">
      <alignment horizontal="center"/>
    </xf>
    <xf numFmtId="2" fontId="0" fillId="24" borderId="31" xfId="0" applyNumberFormat="1" applyFill="1" applyBorder="1" applyAlignment="1">
      <alignment horizontal="center"/>
    </xf>
    <xf numFmtId="2" fontId="0" fillId="24" borderId="33" xfId="0" applyNumberFormat="1" applyFill="1" applyBorder="1" applyAlignment="1">
      <alignment horizontal="center"/>
    </xf>
    <xf numFmtId="0" fontId="0" fillId="25" borderId="51" xfId="0" applyFill="1" applyBorder="1" applyAlignment="1">
      <alignment horizontal="center"/>
    </xf>
    <xf numFmtId="184" fontId="0" fillId="25" borderId="11" xfId="0" applyNumberFormat="1" applyFill="1" applyBorder="1" applyAlignment="1">
      <alignment horizontal="center"/>
    </xf>
    <xf numFmtId="173" fontId="0" fillId="25" borderId="11" xfId="0" applyNumberFormat="1" applyFill="1" applyBorder="1" applyAlignment="1">
      <alignment horizontal="center"/>
    </xf>
    <xf numFmtId="164" fontId="0" fillId="24" borderId="11" xfId="0" applyNumberFormat="1" applyFill="1" applyBorder="1" applyAlignment="1">
      <alignment horizontal="center"/>
    </xf>
    <xf numFmtId="164" fontId="0" fillId="25" borderId="11" xfId="0" applyNumberFormat="1" applyFill="1" applyBorder="1" applyAlignment="1">
      <alignment horizontal="center"/>
    </xf>
    <xf numFmtId="178" fontId="0" fillId="24" borderId="11" xfId="0" applyNumberFormat="1" applyFill="1" applyBorder="1" applyAlignment="1">
      <alignment horizontal="center"/>
    </xf>
    <xf numFmtId="0" fontId="0" fillId="24" borderId="11" xfId="0" applyFill="1" applyBorder="1" applyAlignment="1">
      <alignment horizontal="center"/>
    </xf>
    <xf numFmtId="0" fontId="0" fillId="25" borderId="52" xfId="0" applyFill="1" applyBorder="1" applyAlignment="1">
      <alignment horizontal="center"/>
    </xf>
    <xf numFmtId="0" fontId="0" fillId="25" borderId="53" xfId="0" applyFill="1" applyBorder="1" applyAlignment="1">
      <alignment horizontal="center"/>
    </xf>
    <xf numFmtId="0" fontId="2" fillId="26" borderId="52" xfId="0" applyFont="1" applyFill="1" applyBorder="1" applyAlignment="1">
      <alignment horizontal="center"/>
    </xf>
    <xf numFmtId="0" fontId="0" fillId="26" borderId="54" xfId="0" applyFill="1" applyBorder="1" applyAlignment="1">
      <alignment horizontal="center"/>
    </xf>
    <xf numFmtId="0" fontId="0" fillId="26" borderId="53" xfId="0" applyFill="1" applyBorder="1" applyAlignment="1">
      <alignment horizontal="center"/>
    </xf>
    <xf numFmtId="0" fontId="0" fillId="25" borderId="55" xfId="0" applyFill="1" applyBorder="1" applyAlignment="1">
      <alignment horizontal="center"/>
    </xf>
    <xf numFmtId="0" fontId="0" fillId="25" borderId="56" xfId="0" applyFill="1" applyBorder="1" applyAlignment="1">
      <alignment horizontal="center"/>
    </xf>
    <xf numFmtId="0" fontId="0" fillId="25" borderId="57" xfId="0" applyFill="1" applyBorder="1" applyAlignment="1">
      <alignment horizontal="center"/>
    </xf>
    <xf numFmtId="0" fontId="0" fillId="25" borderId="58" xfId="0" applyFill="1" applyBorder="1" applyAlignment="1">
      <alignment horizontal="center"/>
    </xf>
    <xf numFmtId="0" fontId="0" fillId="25" borderId="59" xfId="0" applyFill="1" applyBorder="1" applyAlignment="1">
      <alignment horizontal="center"/>
    </xf>
    <xf numFmtId="0" fontId="0" fillId="25" borderId="60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3" borderId="56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0" xfId="0" applyFill="1" applyAlignment="1">
      <alignment horizontal="center"/>
    </xf>
    <xf numFmtId="183" fontId="0" fillId="25" borderId="58" xfId="0" applyNumberFormat="1" applyFill="1" applyBorder="1" applyAlignment="1">
      <alignment horizontal="center"/>
    </xf>
    <xf numFmtId="183" fontId="0" fillId="25" borderId="59" xfId="0" applyNumberForma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169" fontId="0" fillId="3" borderId="56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51" xfId="0" applyFill="1" applyBorder="1" applyAlignment="1">
      <alignment horizontal="center"/>
    </xf>
    <xf numFmtId="183" fontId="0" fillId="26" borderId="51" xfId="0" applyNumberFormat="1" applyFill="1" applyBorder="1" applyAlignment="1">
      <alignment horizontal="center"/>
    </xf>
    <xf numFmtId="0" fontId="0" fillId="24" borderId="57" xfId="0" applyFill="1" applyBorder="1" applyAlignment="1">
      <alignment horizontal="center"/>
    </xf>
    <xf numFmtId="0" fontId="0" fillId="24" borderId="62" xfId="0" applyFill="1" applyBorder="1" applyAlignment="1">
      <alignment horizontal="center"/>
    </xf>
    <xf numFmtId="183" fontId="0" fillId="25" borderId="60" xfId="0" applyNumberFormat="1" applyFill="1" applyBorder="1" applyAlignment="1">
      <alignment horizontal="center"/>
    </xf>
    <xf numFmtId="0" fontId="42" fillId="0" borderId="0" xfId="0" applyFont="1" applyAlignment="1">
      <alignment vertical="center"/>
    </xf>
    <xf numFmtId="0" fontId="43" fillId="0" borderId="0" xfId="2" applyFont="1"/>
    <xf numFmtId="0" fontId="43" fillId="27" borderId="2" xfId="2" applyFont="1" applyFill="1" applyBorder="1" applyAlignment="1" applyProtection="1">
      <alignment horizontal="center"/>
      <protection hidden="1"/>
    </xf>
    <xf numFmtId="177" fontId="44" fillId="5" borderId="2" xfId="2" applyNumberFormat="1" applyFont="1" applyFill="1" applyBorder="1" applyAlignment="1" applyProtection="1">
      <alignment horizontal="center"/>
      <protection hidden="1"/>
    </xf>
    <xf numFmtId="0" fontId="42" fillId="0" borderId="0" xfId="2" applyFont="1"/>
    <xf numFmtId="0" fontId="45" fillId="0" borderId="10" xfId="2" applyFont="1" applyBorder="1" applyAlignment="1">
      <alignment horizontal="right"/>
    </xf>
    <xf numFmtId="0" fontId="43" fillId="0" borderId="10" xfId="2" applyFont="1" applyBorder="1"/>
    <xf numFmtId="0" fontId="46" fillId="0" borderId="10" xfId="2" applyFont="1" applyBorder="1" applyAlignment="1">
      <alignment horizontal="left"/>
    </xf>
    <xf numFmtId="0" fontId="45" fillId="0" borderId="10" xfId="2" applyFont="1" applyBorder="1"/>
    <xf numFmtId="0" fontId="45" fillId="0" borderId="7" xfId="0" applyFont="1" applyBorder="1" applyAlignment="1">
      <alignment horizontal="right" vertical="center"/>
    </xf>
    <xf numFmtId="0" fontId="46" fillId="0" borderId="7" xfId="0" applyFont="1" applyBorder="1" applyAlignment="1">
      <alignment horizontal="right" vertical="center"/>
    </xf>
    <xf numFmtId="166" fontId="0" fillId="0" borderId="7" xfId="0" applyNumberFormat="1" applyBorder="1" applyAlignment="1">
      <alignment horizontal="right" vertical="center"/>
    </xf>
    <xf numFmtId="193" fontId="0" fillId="3" borderId="11" xfId="0" applyNumberFormat="1" applyFill="1" applyBorder="1" applyAlignment="1">
      <alignment horizontal="center"/>
    </xf>
    <xf numFmtId="0" fontId="0" fillId="28" borderId="24" xfId="0" applyFill="1" applyBorder="1" applyAlignment="1">
      <alignment horizontal="center"/>
    </xf>
    <xf numFmtId="0" fontId="0" fillId="29" borderId="26" xfId="0" applyFill="1" applyBorder="1" applyAlignment="1">
      <alignment horizontal="center"/>
    </xf>
    <xf numFmtId="186" fontId="0" fillId="25" borderId="11" xfId="0" applyNumberFormat="1" applyFill="1" applyBorder="1" applyAlignment="1">
      <alignment horizontal="center"/>
    </xf>
    <xf numFmtId="176" fontId="30" fillId="5" borderId="24" xfId="2" applyNumberFormat="1" applyFont="1" applyFill="1" applyBorder="1" applyAlignment="1" applyProtection="1">
      <alignment horizontal="center"/>
      <protection hidden="1"/>
    </xf>
    <xf numFmtId="176" fontId="30" fillId="5" borderId="26" xfId="2" applyNumberFormat="1" applyFont="1" applyFill="1" applyBorder="1" applyAlignment="1" applyProtection="1">
      <alignment horizontal="center"/>
      <protection hidden="1"/>
    </xf>
    <xf numFmtId="176" fontId="30" fillId="5" borderId="25" xfId="2" applyNumberFormat="1" applyFont="1" applyFill="1" applyBorder="1" applyAlignment="1" applyProtection="1">
      <alignment horizontal="center"/>
      <protection hidden="1"/>
    </xf>
    <xf numFmtId="0" fontId="30" fillId="5" borderId="63" xfId="2" applyFont="1" applyFill="1" applyBorder="1" applyAlignment="1">
      <alignment horizontal="center"/>
    </xf>
    <xf numFmtId="0" fontId="30" fillId="5" borderId="20" xfId="2" applyFont="1" applyFill="1" applyBorder="1" applyAlignment="1">
      <alignment horizontal="center"/>
    </xf>
    <xf numFmtId="0" fontId="30" fillId="5" borderId="23" xfId="2" applyFont="1" applyFill="1" applyBorder="1" applyAlignment="1">
      <alignment horizontal="center"/>
    </xf>
    <xf numFmtId="176" fontId="30" fillId="5" borderId="63" xfId="2" applyNumberFormat="1" applyFont="1" applyFill="1" applyBorder="1" applyAlignment="1">
      <alignment horizontal="center"/>
    </xf>
    <xf numFmtId="196" fontId="30" fillId="5" borderId="63" xfId="2" applyNumberFormat="1" applyFont="1" applyFill="1" applyBorder="1" applyAlignment="1">
      <alignment horizontal="center"/>
    </xf>
    <xf numFmtId="196" fontId="30" fillId="5" borderId="20" xfId="2" applyNumberFormat="1" applyFont="1" applyFill="1" applyBorder="1" applyAlignment="1">
      <alignment horizontal="center"/>
    </xf>
    <xf numFmtId="196" fontId="30" fillId="5" borderId="23" xfId="2" applyNumberFormat="1" applyFont="1" applyFill="1" applyBorder="1" applyAlignment="1">
      <alignment horizontal="center"/>
    </xf>
    <xf numFmtId="174" fontId="30" fillId="5" borderId="63" xfId="2" applyNumberFormat="1" applyFont="1" applyFill="1" applyBorder="1" applyAlignment="1">
      <alignment horizontal="center"/>
    </xf>
    <xf numFmtId="174" fontId="30" fillId="5" borderId="20" xfId="2" applyNumberFormat="1" applyFont="1" applyFill="1" applyBorder="1" applyAlignment="1">
      <alignment horizontal="center"/>
    </xf>
    <xf numFmtId="174" fontId="30" fillId="5" borderId="23" xfId="2" applyNumberFormat="1" applyFont="1" applyFill="1" applyBorder="1" applyAlignment="1">
      <alignment horizontal="center"/>
    </xf>
    <xf numFmtId="167" fontId="30" fillId="5" borderId="63" xfId="2" applyNumberFormat="1" applyFont="1" applyFill="1" applyBorder="1" applyAlignment="1">
      <alignment horizontal="center"/>
    </xf>
    <xf numFmtId="167" fontId="30" fillId="5" borderId="20" xfId="2" applyNumberFormat="1" applyFont="1" applyFill="1" applyBorder="1" applyAlignment="1">
      <alignment horizontal="center"/>
    </xf>
    <xf numFmtId="167" fontId="30" fillId="5" borderId="23" xfId="2" applyNumberFormat="1" applyFont="1" applyFill="1" applyBorder="1" applyAlignment="1">
      <alignment horizontal="center"/>
    </xf>
    <xf numFmtId="170" fontId="30" fillId="5" borderId="63" xfId="2" applyNumberFormat="1" applyFont="1" applyFill="1" applyBorder="1" applyAlignment="1">
      <alignment horizontal="center"/>
    </xf>
    <xf numFmtId="170" fontId="30" fillId="5" borderId="20" xfId="2" applyNumberFormat="1" applyFont="1" applyFill="1" applyBorder="1" applyAlignment="1">
      <alignment horizontal="center"/>
    </xf>
    <xf numFmtId="170" fontId="30" fillId="5" borderId="23" xfId="2" applyNumberFormat="1" applyFont="1" applyFill="1" applyBorder="1" applyAlignment="1">
      <alignment horizontal="center"/>
    </xf>
    <xf numFmtId="0" fontId="2" fillId="9" borderId="2" xfId="0" applyFont="1" applyFill="1" applyBorder="1" applyAlignment="1" applyProtection="1">
      <alignment horizontal="center" vertical="center"/>
      <protection hidden="1"/>
    </xf>
    <xf numFmtId="0" fontId="0" fillId="9" borderId="2" xfId="0" applyFill="1" applyBorder="1" applyAlignment="1" applyProtection="1">
      <alignment horizontal="center" vertical="center"/>
      <protection hidden="1"/>
    </xf>
    <xf numFmtId="0" fontId="0" fillId="0" borderId="22" xfId="0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187" fontId="2" fillId="7" borderId="2" xfId="0" applyNumberFormat="1" applyFont="1" applyFill="1" applyBorder="1" applyAlignment="1">
      <alignment horizontal="center" vertical="center"/>
    </xf>
    <xf numFmtId="197" fontId="30" fillId="5" borderId="24" xfId="2" applyNumberFormat="1" applyFont="1" applyFill="1" applyBorder="1" applyAlignment="1">
      <alignment horizontal="center"/>
    </xf>
    <xf numFmtId="197" fontId="30" fillId="5" borderId="26" xfId="2" applyNumberFormat="1" applyFont="1" applyFill="1" applyBorder="1" applyAlignment="1">
      <alignment horizontal="center"/>
    </xf>
    <xf numFmtId="197" fontId="30" fillId="5" borderId="25" xfId="2" applyNumberFormat="1" applyFont="1" applyFill="1" applyBorder="1" applyAlignment="1">
      <alignment horizontal="center"/>
    </xf>
    <xf numFmtId="0" fontId="42" fillId="0" borderId="0" xfId="2" applyFont="1" applyAlignment="1" applyProtection="1">
      <alignment horizontal="right"/>
      <protection hidden="1"/>
    </xf>
    <xf numFmtId="0" fontId="2" fillId="0" borderId="31" xfId="0" applyFont="1" applyBorder="1"/>
    <xf numFmtId="0" fontId="2" fillId="0" borderId="32" xfId="0" applyFont="1" applyBorder="1"/>
    <xf numFmtId="0" fontId="2" fillId="0" borderId="21" xfId="0" applyFont="1" applyBorder="1"/>
    <xf numFmtId="0" fontId="2" fillId="0" borderId="19" xfId="0" applyFont="1" applyBorder="1" applyAlignment="1">
      <alignment horizontal="left"/>
    </xf>
    <xf numFmtId="14" fontId="2" fillId="0" borderId="23" xfId="0" applyNumberFormat="1" applyFont="1" applyBorder="1" applyAlignment="1">
      <alignment horizontal="center"/>
    </xf>
    <xf numFmtId="0" fontId="15" fillId="0" borderId="0" xfId="0" applyFont="1" applyAlignment="1">
      <alignment horizontal="right"/>
    </xf>
    <xf numFmtId="0" fontId="39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19" xfId="0" applyFont="1" applyBorder="1"/>
    <xf numFmtId="0" fontId="2" fillId="0" borderId="34" xfId="0" applyFont="1" applyBorder="1"/>
    <xf numFmtId="0" fontId="2" fillId="0" borderId="1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201" fontId="15" fillId="0" borderId="0" xfId="0" applyNumberFormat="1" applyFont="1"/>
    <xf numFmtId="191" fontId="0" fillId="0" borderId="0" xfId="0" applyNumberFormat="1"/>
    <xf numFmtId="192" fontId="0" fillId="0" borderId="0" xfId="0" applyNumberFormat="1"/>
    <xf numFmtId="0" fontId="40" fillId="0" borderId="0" xfId="0" applyFont="1"/>
    <xf numFmtId="192" fontId="2" fillId="30" borderId="32" xfId="0" applyNumberFormat="1" applyFont="1" applyFill="1" applyBorder="1" applyProtection="1">
      <protection locked="0"/>
    </xf>
    <xf numFmtId="198" fontId="2" fillId="0" borderId="23" xfId="0" applyNumberFormat="1" applyFont="1" applyBorder="1"/>
    <xf numFmtId="0" fontId="39" fillId="0" borderId="0" xfId="0" applyFont="1"/>
    <xf numFmtId="3" fontId="2" fillId="30" borderId="32" xfId="0" applyNumberFormat="1" applyFont="1" applyFill="1" applyBorder="1" applyAlignment="1">
      <alignment horizontal="center"/>
    </xf>
    <xf numFmtId="191" fontId="2" fillId="0" borderId="33" xfId="0" applyNumberFormat="1" applyFont="1" applyBorder="1" applyAlignment="1">
      <alignment horizontal="center"/>
    </xf>
    <xf numFmtId="192" fontId="2" fillId="0" borderId="32" xfId="0" applyNumberFormat="1" applyFont="1" applyBorder="1" applyAlignment="1">
      <alignment horizontal="center"/>
    </xf>
    <xf numFmtId="191" fontId="2" fillId="0" borderId="22" xfId="0" applyNumberFormat="1" applyFont="1" applyBorder="1" applyAlignment="1">
      <alignment horizontal="center"/>
    </xf>
    <xf numFmtId="192" fontId="2" fillId="0" borderId="23" xfId="0" applyNumberFormat="1" applyFont="1" applyBorder="1" applyAlignment="1">
      <alignment horizontal="center"/>
    </xf>
    <xf numFmtId="192" fontId="2" fillId="30" borderId="32" xfId="0" applyNumberFormat="1" applyFont="1" applyFill="1" applyBorder="1" applyAlignment="1" applyProtection="1">
      <alignment horizontal="center"/>
      <protection locked="0"/>
    </xf>
    <xf numFmtId="202" fontId="2" fillId="0" borderId="23" xfId="0" applyNumberFormat="1" applyFont="1" applyBorder="1" applyAlignment="1">
      <alignment horizontal="center"/>
    </xf>
    <xf numFmtId="201" fontId="2" fillId="0" borderId="23" xfId="0" applyNumberFormat="1" applyFont="1" applyBorder="1" applyAlignment="1">
      <alignment horizontal="center"/>
    </xf>
    <xf numFmtId="199" fontId="2" fillId="0" borderId="33" xfId="0" applyNumberFormat="1" applyFont="1" applyBorder="1" applyAlignment="1">
      <alignment horizontal="center"/>
    </xf>
    <xf numFmtId="200" fontId="2" fillId="0" borderId="32" xfId="0" applyNumberFormat="1" applyFont="1" applyBorder="1" applyAlignment="1">
      <alignment horizontal="center"/>
    </xf>
    <xf numFmtId="191" fontId="2" fillId="0" borderId="0" xfId="0" applyNumberFormat="1" applyFont="1" applyAlignment="1">
      <alignment horizontal="center"/>
    </xf>
    <xf numFmtId="192" fontId="2" fillId="0" borderId="20" xfId="0" applyNumberFormat="1" applyFont="1" applyBorder="1" applyAlignment="1">
      <alignment horizontal="center"/>
    </xf>
    <xf numFmtId="0" fontId="15" fillId="0" borderId="10" xfId="0" applyFont="1" applyBorder="1"/>
    <xf numFmtId="0" fontId="0" fillId="29" borderId="20" xfId="0" applyFill="1" applyBorder="1" applyAlignment="1">
      <alignment horizontal="center"/>
    </xf>
    <xf numFmtId="0" fontId="0" fillId="31" borderId="65" xfId="0" applyFill="1" applyBorder="1" applyAlignment="1">
      <alignment horizontal="center"/>
    </xf>
    <xf numFmtId="186" fontId="0" fillId="24" borderId="11" xfId="0" applyNumberFormat="1" applyFill="1" applyBorder="1" applyAlignment="1">
      <alignment horizontal="center"/>
    </xf>
    <xf numFmtId="203" fontId="0" fillId="24" borderId="11" xfId="0" applyNumberFormat="1" applyFill="1" applyBorder="1" applyAlignment="1">
      <alignment horizontal="center"/>
    </xf>
    <xf numFmtId="0" fontId="2" fillId="11" borderId="66" xfId="0" applyFont="1" applyFill="1" applyBorder="1" applyAlignment="1" applyProtection="1">
      <alignment horizontal="center" vertical="center"/>
      <protection hidden="1"/>
    </xf>
    <xf numFmtId="164" fontId="2" fillId="17" borderId="24" xfId="0" applyNumberFormat="1" applyFont="1" applyFill="1" applyBorder="1" applyAlignment="1">
      <alignment horizontal="center" vertical="center"/>
    </xf>
    <xf numFmtId="0" fontId="2" fillId="11" borderId="67" xfId="0" applyFont="1" applyFill="1" applyBorder="1" applyAlignment="1" applyProtection="1">
      <alignment horizontal="center" vertical="center"/>
      <protection hidden="1"/>
    </xf>
    <xf numFmtId="170" fontId="2" fillId="3" borderId="25" xfId="0" applyNumberFormat="1" applyFont="1" applyFill="1" applyBorder="1" applyAlignment="1" applyProtection="1">
      <alignment horizontal="center" vertical="center"/>
      <protection locked="0"/>
    </xf>
    <xf numFmtId="0" fontId="2" fillId="28" borderId="2" xfId="0" applyFont="1" applyFill="1" applyBorder="1" applyAlignment="1">
      <alignment horizontal="center" vertical="center"/>
    </xf>
    <xf numFmtId="0" fontId="0" fillId="30" borderId="0" xfId="0" applyFill="1"/>
    <xf numFmtId="0" fontId="0" fillId="30" borderId="0" xfId="0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29" borderId="25" xfId="0" applyFill="1" applyBorder="1" applyAlignment="1">
      <alignment horizontal="center"/>
    </xf>
    <xf numFmtId="0" fontId="1" fillId="0" borderId="0" xfId="2" applyProtection="1">
      <protection locked="0"/>
    </xf>
    <xf numFmtId="0" fontId="1" fillId="0" borderId="0" xfId="2"/>
    <xf numFmtId="0" fontId="33" fillId="0" borderId="0" xfId="2" applyFont="1"/>
    <xf numFmtId="186" fontId="0" fillId="0" borderId="0" xfId="0" applyNumberFormat="1" applyAlignment="1">
      <alignment vertical="center"/>
    </xf>
    <xf numFmtId="0" fontId="0" fillId="0" borderId="0" xfId="0" quotePrefix="1" applyAlignment="1">
      <alignment horizontal="center" vertical="center"/>
    </xf>
    <xf numFmtId="170" fontId="0" fillId="0" borderId="0" xfId="0" applyNumberFormat="1" applyAlignment="1">
      <alignment horizontal="right" vertical="center"/>
    </xf>
    <xf numFmtId="0" fontId="0" fillId="30" borderId="2" xfId="0" applyFill="1" applyBorder="1" applyAlignment="1">
      <alignment vertical="center"/>
    </xf>
    <xf numFmtId="164" fontId="2" fillId="18" borderId="24" xfId="0" applyNumberFormat="1" applyFont="1" applyFill="1" applyBorder="1" applyAlignment="1" applyProtection="1">
      <alignment horizontal="center" vertical="center"/>
      <protection locked="0"/>
    </xf>
    <xf numFmtId="0" fontId="10" fillId="0" borderId="0" xfId="1" applyAlignment="1" applyProtection="1">
      <alignment horizontal="left"/>
      <protection hidden="1"/>
    </xf>
    <xf numFmtId="166" fontId="47" fillId="0" borderId="0" xfId="0" applyNumberFormat="1" applyFont="1" applyAlignment="1">
      <alignment vertical="center"/>
    </xf>
    <xf numFmtId="0" fontId="2" fillId="0" borderId="0" xfId="0" applyFont="1" applyAlignment="1" applyProtection="1">
      <alignment horizontal="center" vertical="center"/>
      <protection hidden="1"/>
    </xf>
    <xf numFmtId="186" fontId="2" fillId="0" borderId="0" xfId="0" applyNumberFormat="1" applyFont="1" applyAlignment="1">
      <alignment horizontal="center" vertical="center"/>
    </xf>
    <xf numFmtId="204" fontId="2" fillId="32" borderId="2" xfId="0" applyNumberFormat="1" applyFont="1" applyFill="1" applyBorder="1" applyAlignment="1">
      <alignment horizontal="center" vertical="center"/>
    </xf>
    <xf numFmtId="175" fontId="0" fillId="7" borderId="46" xfId="0" applyNumberFormat="1" applyFill="1" applyBorder="1" applyAlignment="1">
      <alignment horizontal="center" vertical="center"/>
    </xf>
    <xf numFmtId="175" fontId="2" fillId="7" borderId="2" xfId="0" applyNumberFormat="1" applyFont="1" applyFill="1" applyBorder="1" applyAlignment="1">
      <alignment horizontal="center" vertical="center"/>
    </xf>
    <xf numFmtId="166" fontId="2" fillId="0" borderId="0" xfId="0" applyNumberFormat="1" applyFont="1" applyAlignment="1">
      <alignment horizontal="right" vertical="center"/>
    </xf>
    <xf numFmtId="0" fontId="2" fillId="9" borderId="46" xfId="0" applyFont="1" applyFill="1" applyBorder="1" applyAlignment="1" applyProtection="1">
      <alignment horizontal="center" vertical="center"/>
      <protection hidden="1"/>
    </xf>
    <xf numFmtId="0" fontId="5" fillId="9" borderId="46" xfId="0" applyFont="1" applyFill="1" applyBorder="1" applyAlignment="1" applyProtection="1">
      <alignment horizontal="center" vertical="center"/>
      <protection hidden="1"/>
    </xf>
    <xf numFmtId="2" fontId="0" fillId="7" borderId="68" xfId="0" applyNumberFormat="1" applyFill="1" applyBorder="1" applyAlignment="1">
      <alignment horizontal="center" vertical="center"/>
    </xf>
    <xf numFmtId="187" fontId="2" fillId="7" borderId="68" xfId="0" applyNumberFormat="1" applyFont="1" applyFill="1" applyBorder="1" applyAlignment="1">
      <alignment horizontal="center" vertical="center"/>
    </xf>
    <xf numFmtId="165" fontId="0" fillId="7" borderId="69" xfId="0" applyNumberFormat="1" applyFill="1" applyBorder="1" applyAlignment="1">
      <alignment horizontal="center" vertical="center"/>
    </xf>
    <xf numFmtId="188" fontId="2" fillId="7" borderId="70" xfId="0" applyNumberFormat="1" applyFont="1" applyFill="1" applyBorder="1" applyAlignment="1">
      <alignment horizontal="center" vertical="center"/>
    </xf>
    <xf numFmtId="165" fontId="0" fillId="7" borderId="71" xfId="0" applyNumberFormat="1" applyFill="1" applyBorder="1" applyAlignment="1">
      <alignment horizontal="center" vertical="center"/>
    </xf>
    <xf numFmtId="165" fontId="0" fillId="7" borderId="70" xfId="0" applyNumberFormat="1" applyFill="1" applyBorder="1" applyAlignment="1">
      <alignment horizontal="center" vertical="center"/>
    </xf>
    <xf numFmtId="186" fontId="0" fillId="7" borderId="43" xfId="0" applyNumberFormat="1" applyFill="1" applyBorder="1" applyAlignment="1">
      <alignment horizontal="center" vertical="center"/>
    </xf>
    <xf numFmtId="165" fontId="0" fillId="7" borderId="72" xfId="0" applyNumberFormat="1" applyFill="1" applyBorder="1" applyAlignment="1">
      <alignment horizontal="center" vertical="center"/>
    </xf>
    <xf numFmtId="166" fontId="2" fillId="27" borderId="14" xfId="0" applyNumberFormat="1" applyFont="1" applyFill="1" applyBorder="1" applyAlignment="1">
      <alignment horizontal="center" vertical="center"/>
    </xf>
    <xf numFmtId="0" fontId="0" fillId="32" borderId="2" xfId="0" applyFill="1" applyBorder="1" applyAlignment="1">
      <alignment vertical="center"/>
    </xf>
    <xf numFmtId="187" fontId="0" fillId="7" borderId="73" xfId="0" applyNumberFormat="1" applyFill="1" applyBorder="1" applyAlignment="1">
      <alignment horizontal="center" vertical="center"/>
    </xf>
    <xf numFmtId="205" fontId="0" fillId="32" borderId="2" xfId="0" applyNumberFormat="1" applyFill="1" applyBorder="1" applyAlignment="1">
      <alignment horizontal="center" vertical="center"/>
    </xf>
    <xf numFmtId="206" fontId="15" fillId="0" borderId="0" xfId="2" applyNumberFormat="1" applyFont="1" applyProtection="1">
      <protection hidden="1"/>
    </xf>
    <xf numFmtId="175" fontId="2" fillId="0" borderId="0" xfId="2" applyNumberFormat="1" applyFont="1" applyProtection="1">
      <protection locked="0"/>
    </xf>
    <xf numFmtId="186" fontId="2" fillId="30" borderId="2" xfId="0" applyNumberFormat="1" applyFont="1" applyFill="1" applyBorder="1" applyAlignment="1">
      <alignment horizontal="center" vertical="center"/>
    </xf>
    <xf numFmtId="177" fontId="2" fillId="0" borderId="0" xfId="2" applyNumberFormat="1" applyFont="1"/>
    <xf numFmtId="170" fontId="2" fillId="33" borderId="25" xfId="0" applyNumberFormat="1" applyFont="1" applyFill="1" applyBorder="1" applyAlignment="1" applyProtection="1">
      <alignment horizontal="center" vertical="center"/>
      <protection locked="0"/>
    </xf>
    <xf numFmtId="165" fontId="2" fillId="5" borderId="34" xfId="2" applyNumberFormat="1" applyFont="1" applyFill="1" applyBorder="1" applyAlignment="1">
      <alignment horizontal="center"/>
    </xf>
    <xf numFmtId="178" fontId="14" fillId="5" borderId="34" xfId="2" applyNumberFormat="1" applyFont="1" applyFill="1" applyBorder="1"/>
    <xf numFmtId="179" fontId="29" fillId="5" borderId="24" xfId="2" applyNumberFormat="1" applyFont="1" applyFill="1" applyBorder="1" applyAlignment="1" applyProtection="1">
      <alignment horizontal="center" vertical="center"/>
      <protection hidden="1"/>
    </xf>
    <xf numFmtId="0" fontId="29" fillId="5" borderId="24" xfId="2" applyFont="1" applyFill="1" applyBorder="1" applyAlignment="1" applyProtection="1">
      <alignment horizontal="center" vertical="center"/>
      <protection hidden="1"/>
    </xf>
    <xf numFmtId="2" fontId="15" fillId="0" borderId="19" xfId="2" applyNumberFormat="1" applyFont="1" applyBorder="1" applyAlignment="1" applyProtection="1">
      <alignment horizontal="center"/>
      <protection hidden="1"/>
    </xf>
    <xf numFmtId="2" fontId="15" fillId="0" borderId="20" xfId="2" applyNumberFormat="1" applyFont="1" applyBorder="1" applyAlignment="1" applyProtection="1">
      <alignment horizontal="center"/>
      <protection hidden="1"/>
    </xf>
    <xf numFmtId="2" fontId="15" fillId="0" borderId="0" xfId="2" applyNumberFormat="1" applyFont="1" applyAlignment="1" applyProtection="1">
      <alignment horizontal="center"/>
      <protection hidden="1"/>
    </xf>
    <xf numFmtId="0" fontId="2" fillId="6" borderId="24" xfId="2" applyFont="1" applyFill="1" applyBorder="1" applyAlignment="1">
      <alignment vertical="center"/>
    </xf>
    <xf numFmtId="0" fontId="2" fillId="6" borderId="24" xfId="2" applyFont="1" applyFill="1" applyBorder="1" applyAlignment="1">
      <alignment horizontal="center" vertical="center"/>
    </xf>
    <xf numFmtId="0" fontId="0" fillId="7" borderId="74" xfId="0" applyFill="1" applyBorder="1" applyAlignment="1">
      <alignment horizontal="center" vertical="center"/>
    </xf>
    <xf numFmtId="175" fontId="2" fillId="0" borderId="0" xfId="0" applyNumberFormat="1" applyFont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82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64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10" borderId="2" xfId="2" applyFont="1" applyFill="1" applyBorder="1" applyAlignment="1" applyProtection="1">
      <alignment horizontal="left"/>
      <protection hidden="1"/>
    </xf>
    <xf numFmtId="0" fontId="2" fillId="10" borderId="26" xfId="2" applyFont="1" applyFill="1" applyBorder="1" applyAlignment="1" applyProtection="1">
      <alignment horizontal="left"/>
      <protection hidden="1"/>
    </xf>
    <xf numFmtId="0" fontId="2" fillId="0" borderId="2" xfId="0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center" vertical="center"/>
    </xf>
    <xf numFmtId="175" fontId="2" fillId="0" borderId="2" xfId="0" applyNumberFormat="1" applyFont="1" applyBorder="1" applyAlignment="1">
      <alignment horizontal="right" vertic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left" vertical="top"/>
    </xf>
    <xf numFmtId="0" fontId="42" fillId="0" borderId="0" xfId="2" applyFont="1" applyAlignment="1">
      <alignment horizontal="center"/>
    </xf>
    <xf numFmtId="0" fontId="2" fillId="6" borderId="2" xfId="2" applyFont="1" applyFill="1" applyBorder="1" applyAlignment="1" applyProtection="1">
      <alignment horizontal="center"/>
      <protection hidden="1"/>
    </xf>
    <xf numFmtId="0" fontId="2" fillId="10" borderId="80" xfId="2" applyFont="1" applyFill="1" applyBorder="1" applyAlignment="1" applyProtection="1">
      <alignment horizontal="center"/>
      <protection hidden="1"/>
    </xf>
    <xf numFmtId="0" fontId="2" fillId="10" borderId="81" xfId="2" applyFont="1" applyFill="1" applyBorder="1" applyAlignment="1" applyProtection="1">
      <alignment horizontal="center"/>
      <protection hidden="1"/>
    </xf>
    <xf numFmtId="0" fontId="42" fillId="4" borderId="25" xfId="2" applyFont="1" applyFill="1" applyBorder="1" applyAlignment="1" applyProtection="1">
      <alignment horizontal="center"/>
      <protection locked="0"/>
    </xf>
    <xf numFmtId="0" fontId="42" fillId="4" borderId="82" xfId="2" applyFont="1" applyFill="1" applyBorder="1" applyAlignment="1" applyProtection="1">
      <alignment horizontal="center"/>
      <protection locked="0"/>
    </xf>
    <xf numFmtId="165" fontId="30" fillId="5" borderId="2" xfId="2" applyNumberFormat="1" applyFont="1" applyFill="1" applyBorder="1" applyAlignment="1">
      <alignment horizontal="center"/>
    </xf>
    <xf numFmtId="178" fontId="30" fillId="5" borderId="34" xfId="2" applyNumberFormat="1" applyFont="1" applyFill="1" applyBorder="1" applyAlignment="1">
      <alignment horizontal="center"/>
    </xf>
    <xf numFmtId="178" fontId="30" fillId="5" borderId="14" xfId="2" applyNumberFormat="1" applyFont="1" applyFill="1" applyBorder="1" applyAlignment="1">
      <alignment horizontal="center"/>
    </xf>
    <xf numFmtId="165" fontId="30" fillId="5" borderId="34" xfId="2" applyNumberFormat="1" applyFont="1" applyFill="1" applyBorder="1" applyAlignment="1">
      <alignment horizontal="center"/>
    </xf>
    <xf numFmtId="165" fontId="30" fillId="5" borderId="14" xfId="2" applyNumberFormat="1" applyFont="1" applyFill="1" applyBorder="1" applyAlignment="1">
      <alignment horizontal="center"/>
    </xf>
    <xf numFmtId="0" fontId="2" fillId="10" borderId="83" xfId="2" applyFont="1" applyFill="1" applyBorder="1" applyAlignment="1" applyProtection="1">
      <alignment horizontal="center"/>
      <protection hidden="1"/>
    </xf>
    <xf numFmtId="0" fontId="2" fillId="10" borderId="84" xfId="2" applyFont="1" applyFill="1" applyBorder="1" applyAlignment="1" applyProtection="1">
      <alignment horizontal="center"/>
      <protection hidden="1"/>
    </xf>
    <xf numFmtId="0" fontId="2" fillId="0" borderId="0" xfId="2" applyFont="1" applyAlignment="1">
      <alignment horizontal="center"/>
    </xf>
    <xf numFmtId="177" fontId="2" fillId="4" borderId="34" xfId="2" applyNumberFormat="1" applyFont="1" applyFill="1" applyBorder="1" applyAlignment="1" applyProtection="1">
      <alignment horizontal="center"/>
      <protection locked="0"/>
    </xf>
    <xf numFmtId="177" fontId="2" fillId="4" borderId="14" xfId="2" applyNumberFormat="1" applyFont="1" applyFill="1" applyBorder="1" applyAlignment="1" applyProtection="1">
      <alignment horizontal="center"/>
      <protection locked="0"/>
    </xf>
    <xf numFmtId="0" fontId="3" fillId="19" borderId="0" xfId="2" applyFont="1" applyFill="1" applyAlignment="1">
      <alignment horizontal="center"/>
    </xf>
    <xf numFmtId="0" fontId="2" fillId="0" borderId="0" xfId="2" applyFont="1" applyAlignment="1" applyProtection="1">
      <alignment horizontal="center"/>
      <protection hidden="1"/>
    </xf>
    <xf numFmtId="178" fontId="30" fillId="5" borderId="2" xfId="2" applyNumberFormat="1" applyFont="1" applyFill="1" applyBorder="1" applyAlignment="1">
      <alignment horizontal="center"/>
    </xf>
    <xf numFmtId="0" fontId="2" fillId="10" borderId="78" xfId="2" applyFont="1" applyFill="1" applyBorder="1" applyAlignment="1" applyProtection="1">
      <alignment horizontal="center"/>
      <protection hidden="1"/>
    </xf>
    <xf numFmtId="0" fontId="2" fillId="10" borderId="79" xfId="2" applyFont="1" applyFill="1" applyBorder="1" applyAlignment="1" applyProtection="1">
      <alignment horizontal="center"/>
      <protection hidden="1"/>
    </xf>
    <xf numFmtId="0" fontId="2" fillId="4" borderId="34" xfId="2" applyFont="1" applyFill="1" applyBorder="1" applyAlignment="1" applyProtection="1">
      <alignment horizontal="center"/>
      <protection locked="0"/>
    </xf>
    <xf numFmtId="0" fontId="2" fillId="4" borderId="75" xfId="2" applyFont="1" applyFill="1" applyBorder="1" applyAlignment="1" applyProtection="1">
      <alignment horizontal="center"/>
      <protection locked="0"/>
    </xf>
    <xf numFmtId="0" fontId="32" fillId="4" borderId="25" xfId="2" applyFont="1" applyFill="1" applyBorder="1" applyAlignment="1" applyProtection="1">
      <alignment horizontal="center" vertical="center"/>
      <protection locked="0"/>
    </xf>
    <xf numFmtId="0" fontId="32" fillId="4" borderId="2" xfId="2" applyFont="1" applyFill="1" applyBorder="1" applyAlignment="1" applyProtection="1">
      <alignment horizontal="center" vertical="center"/>
      <protection locked="0"/>
    </xf>
    <xf numFmtId="176" fontId="30" fillId="5" borderId="34" xfId="2" applyNumberFormat="1" applyFont="1" applyFill="1" applyBorder="1" applyAlignment="1">
      <alignment horizontal="center"/>
    </xf>
    <xf numFmtId="176" fontId="30" fillId="5" borderId="14" xfId="2" applyNumberFormat="1" applyFont="1" applyFill="1" applyBorder="1" applyAlignment="1">
      <alignment horizontal="center"/>
    </xf>
    <xf numFmtId="178" fontId="31" fillId="5" borderId="34" xfId="2" applyNumberFormat="1" applyFont="1" applyFill="1" applyBorder="1" applyAlignment="1">
      <alignment horizontal="center"/>
    </xf>
    <xf numFmtId="178" fontId="31" fillId="5" borderId="14" xfId="2" applyNumberFormat="1" applyFont="1" applyFill="1" applyBorder="1" applyAlignment="1">
      <alignment horizontal="center"/>
    </xf>
    <xf numFmtId="20" fontId="2" fillId="4" borderId="34" xfId="2" applyNumberFormat="1" applyFont="1" applyFill="1" applyBorder="1" applyAlignment="1" applyProtection="1">
      <alignment horizontal="center"/>
      <protection locked="0"/>
    </xf>
    <xf numFmtId="20" fontId="2" fillId="4" borderId="75" xfId="2" applyNumberFormat="1" applyFont="1" applyFill="1" applyBorder="1" applyAlignment="1" applyProtection="1">
      <alignment horizontal="center"/>
      <protection locked="0"/>
    </xf>
    <xf numFmtId="177" fontId="2" fillId="4" borderId="2" xfId="2" applyNumberFormat="1" applyFont="1" applyFill="1" applyBorder="1" applyAlignment="1" applyProtection="1">
      <alignment horizontal="center"/>
      <protection locked="0"/>
    </xf>
    <xf numFmtId="0" fontId="42" fillId="0" borderId="76" xfId="2" applyFont="1" applyBorder="1" applyAlignment="1">
      <alignment horizontal="left"/>
    </xf>
    <xf numFmtId="0" fontId="2" fillId="4" borderId="21" xfId="2" applyFont="1" applyFill="1" applyBorder="1" applyAlignment="1" applyProtection="1">
      <alignment horizontal="center"/>
      <protection locked="0"/>
    </xf>
    <xf numFmtId="0" fontId="2" fillId="4" borderId="77" xfId="2" applyFont="1" applyFill="1" applyBorder="1" applyAlignment="1" applyProtection="1">
      <alignment horizontal="center"/>
      <protection locked="0"/>
    </xf>
    <xf numFmtId="0" fontId="17" fillId="5" borderId="31" xfId="2" applyFont="1" applyFill="1" applyBorder="1" applyAlignment="1">
      <alignment horizontal="center" vertical="center"/>
    </xf>
    <xf numFmtId="0" fontId="17" fillId="5" borderId="32" xfId="2" applyFont="1" applyFill="1" applyBorder="1" applyAlignment="1">
      <alignment horizontal="center" vertical="center"/>
    </xf>
    <xf numFmtId="0" fontId="17" fillId="5" borderId="21" xfId="2" applyFont="1" applyFill="1" applyBorder="1" applyAlignment="1">
      <alignment horizontal="center" vertical="center"/>
    </xf>
    <xf numFmtId="0" fontId="17" fillId="5" borderId="23" xfId="2" applyFont="1" applyFill="1" applyBorder="1" applyAlignment="1">
      <alignment horizontal="center" vertical="center"/>
    </xf>
    <xf numFmtId="0" fontId="2" fillId="4" borderId="2" xfId="2" applyFont="1" applyFill="1" applyBorder="1" applyAlignment="1" applyProtection="1">
      <alignment horizontal="center"/>
      <protection locked="0"/>
    </xf>
    <xf numFmtId="0" fontId="2" fillId="4" borderId="8" xfId="2" applyFont="1" applyFill="1" applyBorder="1" applyAlignment="1" applyProtection="1">
      <alignment horizontal="center"/>
      <protection locked="0"/>
    </xf>
    <xf numFmtId="177" fontId="30" fillId="5" borderId="34" xfId="2" applyNumberFormat="1" applyFont="1" applyFill="1" applyBorder="1" applyAlignment="1" applyProtection="1">
      <alignment horizontal="center"/>
      <protection hidden="1"/>
    </xf>
    <xf numFmtId="177" fontId="30" fillId="5" borderId="14" xfId="2" applyNumberFormat="1" applyFont="1" applyFill="1" applyBorder="1" applyAlignment="1" applyProtection="1">
      <alignment horizontal="center"/>
      <protection hidden="1"/>
    </xf>
    <xf numFmtId="176" fontId="30" fillId="5" borderId="34" xfId="2" applyNumberFormat="1" applyFont="1" applyFill="1" applyBorder="1" applyAlignment="1" applyProtection="1">
      <alignment horizontal="center"/>
      <protection hidden="1"/>
    </xf>
    <xf numFmtId="176" fontId="30" fillId="5" borderId="14" xfId="2" applyNumberFormat="1" applyFont="1" applyFill="1" applyBorder="1" applyAlignment="1" applyProtection="1">
      <alignment horizontal="center"/>
      <protection hidden="1"/>
    </xf>
    <xf numFmtId="165" fontId="2" fillId="5" borderId="34" xfId="2" applyNumberFormat="1" applyFont="1" applyFill="1" applyBorder="1" applyAlignment="1">
      <alignment horizontal="center"/>
    </xf>
    <xf numFmtId="165" fontId="2" fillId="5" borderId="14" xfId="2" applyNumberFormat="1" applyFont="1" applyFill="1" applyBorder="1" applyAlignment="1">
      <alignment horizontal="center"/>
    </xf>
    <xf numFmtId="0" fontId="2" fillId="10" borderId="34" xfId="2" applyFont="1" applyFill="1" applyBorder="1" applyAlignment="1" applyProtection="1">
      <alignment horizontal="center"/>
      <protection hidden="1"/>
    </xf>
    <xf numFmtId="0" fontId="2" fillId="10" borderId="14" xfId="2" applyFont="1" applyFill="1" applyBorder="1" applyAlignment="1" applyProtection="1">
      <alignment horizontal="center"/>
      <protection hidden="1"/>
    </xf>
    <xf numFmtId="0" fontId="30" fillId="6" borderId="34" xfId="2" applyFont="1" applyFill="1" applyBorder="1" applyAlignment="1">
      <alignment horizontal="center"/>
    </xf>
    <xf numFmtId="0" fontId="30" fillId="6" borderId="14" xfId="2" applyFont="1" applyFill="1" applyBorder="1" applyAlignment="1">
      <alignment horizontal="center"/>
    </xf>
    <xf numFmtId="0" fontId="15" fillId="0" borderId="0" xfId="2" applyFont="1" applyAlignment="1" applyProtection="1">
      <alignment horizontal="center"/>
      <protection hidden="1"/>
    </xf>
    <xf numFmtId="0" fontId="27" fillId="6" borderId="34" xfId="2" applyFont="1" applyFill="1" applyBorder="1" applyAlignment="1" applyProtection="1">
      <alignment horizontal="center"/>
      <protection hidden="1"/>
    </xf>
    <xf numFmtId="0" fontId="27" fillId="6" borderId="14" xfId="2" applyFont="1" applyFill="1" applyBorder="1" applyAlignment="1" applyProtection="1">
      <alignment horizontal="center"/>
      <protection hidden="1"/>
    </xf>
    <xf numFmtId="0" fontId="2" fillId="10" borderId="2" xfId="2" applyFont="1" applyFill="1" applyBorder="1" applyAlignment="1" applyProtection="1">
      <alignment horizontal="center"/>
      <protection hidden="1"/>
    </xf>
    <xf numFmtId="0" fontId="30" fillId="6" borderId="2" xfId="2" applyFont="1" applyFill="1" applyBorder="1" applyAlignment="1">
      <alignment horizontal="center"/>
    </xf>
    <xf numFmtId="0" fontId="38" fillId="8" borderId="95" xfId="0" applyFont="1" applyFill="1" applyBorder="1" applyAlignment="1" applyProtection="1">
      <alignment horizontal="center" vertical="center"/>
      <protection hidden="1"/>
    </xf>
    <xf numFmtId="0" fontId="38" fillId="8" borderId="96" xfId="0" applyFont="1" applyFill="1" applyBorder="1" applyAlignment="1" applyProtection="1">
      <alignment horizontal="center" vertical="center"/>
      <protection hidden="1"/>
    </xf>
    <xf numFmtId="0" fontId="2" fillId="8" borderId="97" xfId="0" applyFont="1" applyFill="1" applyBorder="1" applyAlignment="1" applyProtection="1">
      <alignment horizontal="center" vertical="center"/>
      <protection hidden="1"/>
    </xf>
    <xf numFmtId="0" fontId="11" fillId="8" borderId="15" xfId="0" applyFont="1" applyFill="1" applyBorder="1" applyAlignment="1" applyProtection="1">
      <alignment horizontal="center" vertical="center"/>
      <protection hidden="1"/>
    </xf>
    <xf numFmtId="0" fontId="38" fillId="8" borderId="98" xfId="0" applyFont="1" applyFill="1" applyBorder="1" applyAlignment="1" applyProtection="1">
      <alignment horizontal="center" vertical="center"/>
      <protection hidden="1"/>
    </xf>
    <xf numFmtId="0" fontId="38" fillId="8" borderId="91" xfId="0" applyFont="1" applyFill="1" applyBorder="1" applyAlignment="1" applyProtection="1">
      <alignment horizontal="center" vertical="center"/>
      <protection hidden="1"/>
    </xf>
    <xf numFmtId="0" fontId="14" fillId="8" borderId="15" xfId="0" applyFont="1" applyFill="1" applyBorder="1" applyAlignment="1" applyProtection="1">
      <alignment horizontal="center" vertical="center"/>
      <protection hidden="1"/>
    </xf>
    <xf numFmtId="0" fontId="12" fillId="8" borderId="17" xfId="0" applyFont="1" applyFill="1" applyBorder="1" applyAlignment="1" applyProtection="1">
      <alignment horizontal="center" vertical="center"/>
      <protection hidden="1"/>
    </xf>
    <xf numFmtId="0" fontId="12" fillId="8" borderId="16" xfId="0" applyFont="1" applyFill="1" applyBorder="1" applyAlignment="1" applyProtection="1">
      <alignment horizontal="center" vertical="center"/>
      <protection hidden="1"/>
    </xf>
    <xf numFmtId="0" fontId="2" fillId="13" borderId="92" xfId="0" applyFont="1" applyFill="1" applyBorder="1" applyAlignment="1" applyProtection="1">
      <alignment horizontal="center" vertical="center"/>
      <protection locked="0"/>
    </xf>
    <xf numFmtId="0" fontId="2" fillId="13" borderId="93" xfId="0" applyFont="1" applyFill="1" applyBorder="1" applyAlignment="1" applyProtection="1">
      <alignment horizontal="center" vertical="center"/>
      <protection locked="0"/>
    </xf>
    <xf numFmtId="164" fontId="2" fillId="13" borderId="46" xfId="0" applyNumberFormat="1" applyFont="1" applyFill="1" applyBorder="1" applyAlignment="1">
      <alignment horizontal="center" vertical="center"/>
    </xf>
    <xf numFmtId="168" fontId="2" fillId="13" borderId="15" xfId="0" applyNumberFormat="1" applyFont="1" applyFill="1" applyBorder="1" applyAlignment="1" applyProtection="1">
      <alignment horizontal="center" vertical="center"/>
      <protection locked="0"/>
    </xf>
    <xf numFmtId="167" fontId="2" fillId="13" borderId="15" xfId="0" applyNumberFormat="1" applyFont="1" applyFill="1" applyBorder="1" applyAlignment="1" applyProtection="1">
      <alignment horizontal="center" vertical="center"/>
      <protection locked="0"/>
    </xf>
    <xf numFmtId="0" fontId="2" fillId="13" borderId="94" xfId="0" applyFont="1" applyFill="1" applyBorder="1" applyAlignment="1">
      <alignment horizontal="center"/>
    </xf>
    <xf numFmtId="0" fontId="2" fillId="13" borderId="93" xfId="0" applyFont="1" applyFill="1" applyBorder="1" applyAlignment="1">
      <alignment horizontal="center"/>
    </xf>
    <xf numFmtId="0" fontId="2" fillId="12" borderId="15" xfId="0" applyFont="1" applyFill="1" applyBorder="1" applyAlignment="1" applyProtection="1">
      <alignment horizontal="center"/>
      <protection hidden="1"/>
    </xf>
    <xf numFmtId="166" fontId="2" fillId="17" borderId="46" xfId="0" applyNumberFormat="1" applyFont="1" applyFill="1" applyBorder="1" applyAlignment="1">
      <alignment horizontal="center" vertical="center"/>
    </xf>
    <xf numFmtId="0" fontId="2" fillId="12" borderId="66" xfId="0" applyFont="1" applyFill="1" applyBorder="1" applyAlignment="1" applyProtection="1">
      <alignment horizontal="center"/>
      <protection hidden="1"/>
    </xf>
    <xf numFmtId="0" fontId="2" fillId="12" borderId="86" xfId="0" applyFont="1" applyFill="1" applyBorder="1" applyAlignment="1" applyProtection="1">
      <alignment horizontal="center"/>
      <protection hidden="1"/>
    </xf>
    <xf numFmtId="0" fontId="11" fillId="8" borderId="87" xfId="0" applyFont="1" applyFill="1" applyBorder="1" applyAlignment="1" applyProtection="1">
      <alignment horizontal="center" vertical="center"/>
      <protection hidden="1"/>
    </xf>
    <xf numFmtId="0" fontId="11" fillId="8" borderId="68" xfId="0" applyFont="1" applyFill="1" applyBorder="1" applyAlignment="1" applyProtection="1">
      <alignment horizontal="center" vertical="center"/>
      <protection hidden="1"/>
    </xf>
    <xf numFmtId="0" fontId="12" fillId="8" borderId="88" xfId="0" applyFont="1" applyFill="1" applyBorder="1" applyAlignment="1" applyProtection="1">
      <alignment horizontal="center" vertical="center"/>
      <protection hidden="1"/>
    </xf>
    <xf numFmtId="0" fontId="11" fillId="8" borderId="89" xfId="0" applyFont="1" applyFill="1" applyBorder="1" applyAlignment="1" applyProtection="1">
      <alignment horizontal="center" vertical="center"/>
      <protection hidden="1"/>
    </xf>
    <xf numFmtId="0" fontId="38" fillId="8" borderId="90" xfId="0" applyFont="1" applyFill="1" applyBorder="1" applyAlignment="1" applyProtection="1">
      <alignment horizontal="center" vertical="center"/>
      <protection hidden="1"/>
    </xf>
    <xf numFmtId="0" fontId="2" fillId="4" borderId="34" xfId="2" applyFont="1" applyFill="1" applyBorder="1" applyAlignment="1" applyProtection="1">
      <alignment horizontal="center" vertical="center"/>
      <protection locked="0"/>
    </xf>
    <xf numFmtId="0" fontId="2" fillId="4" borderId="14" xfId="2" applyFont="1" applyFill="1" applyBorder="1" applyAlignment="1" applyProtection="1">
      <alignment horizontal="center" vertical="center"/>
      <protection locked="0"/>
    </xf>
    <xf numFmtId="0" fontId="14" fillId="8" borderId="85" xfId="0" applyFont="1" applyFill="1" applyBorder="1" applyAlignment="1" applyProtection="1">
      <alignment horizontal="center" vertical="center"/>
      <protection hidden="1"/>
    </xf>
    <xf numFmtId="0" fontId="14" fillId="8" borderId="43" xfId="0" applyFont="1" applyFill="1" applyBorder="1" applyAlignment="1" applyProtection="1">
      <alignment horizontal="center" vertical="center"/>
      <protection hidden="1"/>
    </xf>
    <xf numFmtId="0" fontId="2" fillId="10" borderId="2" xfId="2" applyFont="1" applyFill="1" applyBorder="1" applyAlignment="1" applyProtection="1">
      <alignment horizontal="center" vertical="center"/>
      <protection hidden="1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4" borderId="2" xfId="2" applyFont="1" applyFill="1" applyBorder="1" applyAlignment="1" applyProtection="1">
      <alignment horizontal="center" vertical="center"/>
      <protection locked="0"/>
    </xf>
    <xf numFmtId="0" fontId="3" fillId="20" borderId="0" xfId="0" applyFont="1" applyFill="1" applyAlignment="1">
      <alignment horizontal="center"/>
    </xf>
    <xf numFmtId="0" fontId="32" fillId="13" borderId="15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0" borderId="19" xfId="0" applyFill="1" applyBorder="1" applyAlignment="1">
      <alignment horizontal="center"/>
    </xf>
    <xf numFmtId="0" fontId="0" fillId="30" borderId="20" xfId="0" applyFill="1" applyBorder="1" applyAlignment="1">
      <alignment horizontal="center"/>
    </xf>
    <xf numFmtId="0" fontId="0" fillId="4" borderId="19" xfId="0" applyFill="1" applyBorder="1" applyAlignment="1" applyProtection="1">
      <alignment horizontal="center"/>
      <protection locked="0"/>
    </xf>
    <xf numFmtId="0" fontId="0" fillId="4" borderId="20" xfId="0" applyFill="1" applyBorder="1" applyAlignment="1" applyProtection="1">
      <alignment horizontal="center"/>
      <protection locked="0"/>
    </xf>
    <xf numFmtId="0" fontId="0" fillId="30" borderId="21" xfId="0" applyFill="1" applyBorder="1" applyAlignment="1">
      <alignment horizontal="center"/>
    </xf>
    <xf numFmtId="0" fontId="0" fillId="30" borderId="23" xfId="0" applyFill="1" applyBorder="1" applyAlignment="1">
      <alignment horizontal="center"/>
    </xf>
    <xf numFmtId="0" fontId="0" fillId="4" borderId="0" xfId="0" applyFill="1" applyAlignment="1" applyProtection="1">
      <alignment horizontal="center"/>
      <protection locked="0"/>
    </xf>
    <xf numFmtId="0" fontId="0" fillId="0" borderId="33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28" borderId="31" xfId="0" applyFill="1" applyBorder="1" applyAlignment="1">
      <alignment horizontal="center"/>
    </xf>
    <xf numFmtId="0" fontId="0" fillId="28" borderId="32" xfId="0" applyFill="1" applyBorder="1" applyAlignment="1">
      <alignment horizontal="center"/>
    </xf>
    <xf numFmtId="0" fontId="0" fillId="30" borderId="21" xfId="0" applyFill="1" applyBorder="1" applyAlignment="1" applyProtection="1">
      <alignment horizontal="center"/>
      <protection locked="0"/>
    </xf>
    <xf numFmtId="0" fontId="0" fillId="30" borderId="23" xfId="0" applyFill="1" applyBorder="1" applyAlignment="1" applyProtection="1">
      <alignment horizontal="center"/>
      <protection locked="0"/>
    </xf>
    <xf numFmtId="0" fontId="0" fillId="30" borderId="19" xfId="0" applyFill="1" applyBorder="1" applyAlignment="1" applyProtection="1">
      <alignment horizontal="center"/>
      <protection locked="0"/>
    </xf>
    <xf numFmtId="0" fontId="0" fillId="30" borderId="20" xfId="0" applyFill="1" applyBorder="1" applyAlignment="1" applyProtection="1">
      <alignment horizontal="center"/>
      <protection locked="0"/>
    </xf>
    <xf numFmtId="0" fontId="0" fillId="0" borderId="33" xfId="0" applyBorder="1" applyAlignment="1">
      <alignment horizontal="center"/>
    </xf>
    <xf numFmtId="2" fontId="0" fillId="22" borderId="53" xfId="0" applyNumberFormat="1" applyFill="1" applyBorder="1" applyAlignment="1">
      <alignment horizontal="center"/>
    </xf>
    <xf numFmtId="2" fontId="0" fillId="22" borderId="65" xfId="0" applyNumberFormat="1" applyFill="1" applyBorder="1" applyAlignment="1">
      <alignment horizontal="center"/>
    </xf>
    <xf numFmtId="2" fontId="0" fillId="22" borderId="11" xfId="0" applyNumberFormat="1" applyFill="1" applyBorder="1" applyAlignment="1">
      <alignment horizontal="center"/>
    </xf>
    <xf numFmtId="2" fontId="0" fillId="22" borderId="54" xfId="0" applyNumberFormat="1" applyFill="1" applyBorder="1" applyAlignment="1">
      <alignment horizontal="center"/>
    </xf>
    <xf numFmtId="0" fontId="0" fillId="22" borderId="99" xfId="0" applyFill="1" applyBorder="1" applyAlignment="1">
      <alignment horizontal="center"/>
    </xf>
    <xf numFmtId="0" fontId="0" fillId="22" borderId="100" xfId="0" applyFill="1" applyBorder="1" applyAlignment="1">
      <alignment horizontal="center"/>
    </xf>
    <xf numFmtId="0" fontId="0" fillId="22" borderId="101" xfId="0" applyFill="1" applyBorder="1" applyAlignment="1">
      <alignment horizontal="center"/>
    </xf>
    <xf numFmtId="2" fontId="0" fillId="22" borderId="52" xfId="0" applyNumberFormat="1" applyFill="1" applyBorder="1" applyAlignment="1">
      <alignment horizontal="center"/>
    </xf>
    <xf numFmtId="194" fontId="2" fillId="13" borderId="46" xfId="0" applyNumberFormat="1" applyFont="1" applyFill="1" applyBorder="1" applyAlignment="1">
      <alignment horizontal="center" vertical="center"/>
    </xf>
    <xf numFmtId="195" fontId="2" fillId="17" borderId="15" xfId="0" applyNumberFormat="1" applyFont="1" applyFill="1" applyBorder="1" applyAlignment="1">
      <alignment horizontal="center" vertical="center"/>
    </xf>
    <xf numFmtId="0" fontId="2" fillId="13" borderId="15" xfId="0" applyFont="1" applyFill="1" applyBorder="1" applyAlignment="1">
      <alignment horizontal="center" vertical="center"/>
    </xf>
    <xf numFmtId="0" fontId="2" fillId="13" borderId="46" xfId="0" applyFont="1" applyFill="1" applyBorder="1" applyAlignment="1">
      <alignment horizontal="center" vertical="center"/>
    </xf>
    <xf numFmtId="165" fontId="2" fillId="0" borderId="33" xfId="0" applyNumberFormat="1" applyFont="1" applyBorder="1" applyAlignment="1">
      <alignment horizontal="center" vertical="center"/>
    </xf>
    <xf numFmtId="165" fontId="2" fillId="0" borderId="32" xfId="0" applyNumberFormat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2" fillId="0" borderId="20" xfId="0" applyNumberFormat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175" fontId="2" fillId="0" borderId="22" xfId="0" applyNumberFormat="1" applyFont="1" applyBorder="1" applyAlignment="1">
      <alignment horizontal="center" vertical="center"/>
    </xf>
    <xf numFmtId="175" fontId="2" fillId="0" borderId="23" xfId="0" applyNumberFormat="1" applyFont="1" applyBorder="1" applyAlignment="1">
      <alignment horizontal="center" vertical="center"/>
    </xf>
    <xf numFmtId="0" fontId="2" fillId="0" borderId="21" xfId="0" applyFont="1" applyBorder="1" applyAlignment="1">
      <alignment horizontal="left"/>
    </xf>
    <xf numFmtId="0" fontId="2" fillId="0" borderId="22" xfId="0" applyFont="1" applyBorder="1" applyAlignment="1">
      <alignment horizontal="left"/>
    </xf>
    <xf numFmtId="0" fontId="2" fillId="0" borderId="31" xfId="0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165" fontId="2" fillId="0" borderId="12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</cellXfs>
  <cellStyles count="3">
    <cellStyle name="Lien hypertexte" xfId="1" builtinId="8"/>
    <cellStyle name="Normal" xfId="0" builtinId="0"/>
    <cellStyle name="Normal 2" xfId="2" xr:uid="{84631061-BD5E-FA4B-A480-657850535639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fgColor indexed="42"/>
          <bgColor rgb="FFFFFFCC"/>
        </patternFill>
      </fill>
    </dxf>
    <dxf>
      <fill>
        <patternFill patternType="solid">
          <fgColor indexed="31"/>
          <bgColor indexed="22"/>
        </patternFill>
      </fill>
    </dxf>
    <dxf>
      <fill>
        <patternFill patternType="solid">
          <fgColor indexed="27"/>
          <bgColor rgb="FFFFCCFF"/>
        </patternFill>
      </fill>
    </dxf>
    <dxf>
      <font>
        <color rgb="FFFF0000"/>
      </font>
    </dxf>
    <dxf>
      <font>
        <color rgb="FF808080"/>
      </font>
    </dxf>
    <dxf>
      <fill>
        <patternFill>
          <bgColor indexed="10"/>
        </patternFill>
      </fill>
    </dxf>
    <dxf>
      <fill>
        <patternFill patternType="solid">
          <fgColor indexed="53"/>
          <bgColor rgb="FFFF0000"/>
        </patternFill>
      </fill>
    </dxf>
    <dxf>
      <fill>
        <patternFill patternType="solid">
          <fgColor indexed="60"/>
          <bgColor indexed="10"/>
        </patternFill>
      </fill>
    </dxf>
    <dxf>
      <fill>
        <patternFill>
          <bgColor rgb="FFFF0000"/>
        </patternFill>
      </fill>
    </dxf>
    <dxf>
      <font>
        <color rgb="FFCCFFFF"/>
      </font>
    </dxf>
    <dxf>
      <font>
        <color rgb="FFCC6600"/>
      </font>
    </dxf>
    <dxf>
      <font>
        <color rgb="FFCC6600"/>
      </font>
    </dxf>
    <dxf>
      <fill>
        <patternFill>
          <bgColor rgb="FFFF0000"/>
        </patternFill>
      </fill>
    </dxf>
    <dxf>
      <font>
        <color theme="0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  <dxf>
      <font>
        <color rgb="FF99CCFF"/>
      </font>
    </dxf>
    <dxf>
      <fill>
        <patternFill>
          <bgColor indexed="10"/>
        </patternFill>
      </fill>
    </dxf>
    <dxf>
      <font>
        <color theme="0"/>
      </font>
      <fill>
        <patternFill>
          <bgColor theme="0"/>
        </patternFill>
      </fill>
      <border>
        <right/>
        <top/>
        <bottom/>
      </border>
    </dxf>
    <dxf>
      <font>
        <color indexed="9"/>
      </font>
      <fill>
        <patternFill patternType="solid">
          <bgColor indexed="9"/>
        </patternFill>
      </fill>
      <border>
        <left/>
        <right/>
        <top/>
        <bottom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</border>
    </dxf>
    <dxf>
      <font>
        <color theme="0"/>
      </font>
      <fill>
        <patternFill patternType="solid">
          <bgColor theme="0"/>
        </patternFill>
      </fill>
      <border>
        <right/>
        <bottom/>
      </border>
    </dxf>
    <dxf>
      <fill>
        <patternFill patternType="solid">
          <fgColor indexed="60"/>
          <bgColor indexed="10"/>
        </patternFill>
      </fill>
    </dxf>
    <dxf>
      <font>
        <color rgb="FFFFFF99"/>
        <name val="Cambria"/>
        <scheme val="none"/>
      </font>
    </dxf>
    <dxf>
      <font>
        <color rgb="FFFFCC99"/>
      </font>
    </dxf>
    <dxf>
      <font>
        <color rgb="FF808080"/>
      </font>
    </dxf>
    <dxf>
      <font>
        <color theme="0"/>
      </font>
      <fill>
        <patternFill>
          <bgColor theme="0"/>
        </patternFill>
      </fill>
      <border>
        <left/>
        <right/>
        <bottom/>
      </border>
    </dxf>
    <dxf>
      <font>
        <color rgb="FFFF0000"/>
      </font>
    </dxf>
    <dxf>
      <font>
        <color indexed="9"/>
      </font>
      <fill>
        <patternFill>
          <bgColor indexed="9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rgb="FFCC6600"/>
      </font>
    </dxf>
    <dxf>
      <font>
        <color theme="1"/>
      </font>
    </dxf>
    <dxf>
      <font>
        <color rgb="FFCC6600"/>
      </font>
    </dxf>
    <dxf>
      <font>
        <color rgb="FFFF0000"/>
      </font>
    </dxf>
    <dxf>
      <font>
        <color rgb="FFCC6600"/>
      </font>
    </dxf>
    <dxf>
      <font>
        <color theme="0"/>
      </font>
      <fill>
        <patternFill patternType="none">
          <bgColor indexed="65"/>
        </patternFill>
      </fill>
      <border>
        <left/>
        <right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3CAFF"/>
      <rgbColor rgb="00993366"/>
      <rgbColor rgb="00E6E6E6"/>
      <rgbColor rgb="00CCFFFF"/>
      <rgbColor rgb="00660066"/>
      <rgbColor rgb="00FF8080"/>
      <rgbColor rgb="000066CC"/>
      <rgbColor rgb="00CCCCCC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970566137003713E-2"/>
          <c:y val="6.4690026954178165E-2"/>
          <c:w val="0.84871001627006726"/>
          <c:h val="0.90566037735849292"/>
        </c:manualLayout>
      </c:layout>
      <c:scatterChart>
        <c:scatterStyle val="lineMarker"/>
        <c:varyColors val="0"/>
        <c:ser>
          <c:idx val="0"/>
          <c:order val="0"/>
          <c:tx>
            <c:v>fuselage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Stabilito!$D$124:$D$131</c:f>
              <c:numCache>
                <c:formatCode>0</c:formatCode>
                <c:ptCount val="8"/>
                <c:pt idx="0">
                  <c:v>0</c:v>
                </c:pt>
                <c:pt idx="1">
                  <c:v>32</c:v>
                </c:pt>
                <c:pt idx="2">
                  <c:v>32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-280</c:v>
                </c:pt>
                <c:pt idx="1">
                  <c:v>-280</c:v>
                </c:pt>
                <c:pt idx="2">
                  <c:v>-900</c:v>
                </c:pt>
                <c:pt idx="3">
                  <c:v>-1050</c:v>
                </c:pt>
                <c:pt idx="4">
                  <c:v>-1750</c:v>
                </c:pt>
                <c:pt idx="5">
                  <c:v>-1800</c:v>
                </c:pt>
                <c:pt idx="6">
                  <c:v>-1800</c:v>
                </c:pt>
                <c:pt idx="7">
                  <c:v>-1800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E-8D4F-A848-A4470DE867AA}"/>
            </c:ext>
          </c:extLst>
        </c:ser>
        <c:ser>
          <c:idx val="1"/>
          <c:order val="1"/>
          <c:tx>
            <c:v>aileron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Stabilito!$D$132:$D$136</c:f>
              <c:numCache>
                <c:formatCode>0</c:formatCode>
                <c:ptCount val="5"/>
                <c:pt idx="0">
                  <c:v>32</c:v>
                </c:pt>
                <c:pt idx="1">
                  <c:v>191</c:v>
                </c:pt>
                <c:pt idx="2">
                  <c:v>191</c:v>
                </c:pt>
                <c:pt idx="3">
                  <c:v>32</c:v>
                </c:pt>
                <c:pt idx="4">
                  <c:v>32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-1486</c:v>
                </c:pt>
                <c:pt idx="1">
                  <c:v>-1700</c:v>
                </c:pt>
                <c:pt idx="2">
                  <c:v>-1810</c:v>
                </c:pt>
                <c:pt idx="3">
                  <c:v>-1750</c:v>
                </c:pt>
                <c:pt idx="4">
                  <c:v>-1486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5E-8D4F-A848-A4470DE867AA}"/>
            </c:ext>
          </c:extLst>
        </c:ser>
        <c:ser>
          <c:idx val="2"/>
          <c:order val="2"/>
          <c:tx>
            <c:v>fuselage2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Stabilito!$E$124:$E$131</c:f>
              <c:numCache>
                <c:formatCode>0</c:formatCode>
                <c:ptCount val="8"/>
                <c:pt idx="0">
                  <c:v>0</c:v>
                </c:pt>
                <c:pt idx="1">
                  <c:v>-32</c:v>
                </c:pt>
                <c:pt idx="2">
                  <c:v>-32</c:v>
                </c:pt>
                <c:pt idx="3">
                  <c:v>-60</c:v>
                </c:pt>
                <c:pt idx="4">
                  <c:v>-60</c:v>
                </c:pt>
                <c:pt idx="5">
                  <c:v>-60</c:v>
                </c:pt>
                <c:pt idx="6">
                  <c:v>-60</c:v>
                </c:pt>
                <c:pt idx="7">
                  <c:v>0</c:v>
                </c:pt>
              </c:numCache>
            </c:numRef>
          </c:xVal>
          <c:yVal>
            <c:numRef>
              <c:f>Stabilito!$C$124:$C$131</c:f>
              <c:numCache>
                <c:formatCode>0</c:formatCode>
                <c:ptCount val="8"/>
                <c:pt idx="0">
                  <c:v>-280</c:v>
                </c:pt>
                <c:pt idx="1">
                  <c:v>-280</c:v>
                </c:pt>
                <c:pt idx="2">
                  <c:v>-900</c:v>
                </c:pt>
                <c:pt idx="3">
                  <c:v>-1050</c:v>
                </c:pt>
                <c:pt idx="4">
                  <c:v>-1750</c:v>
                </c:pt>
                <c:pt idx="5">
                  <c:v>-1800</c:v>
                </c:pt>
                <c:pt idx="6">
                  <c:v>-1800</c:v>
                </c:pt>
                <c:pt idx="7">
                  <c:v>-1800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5E-8D4F-A848-A4470DE867AA}"/>
            </c:ext>
          </c:extLst>
        </c:ser>
        <c:ser>
          <c:idx val="3"/>
          <c:order val="3"/>
          <c:tx>
            <c:v>aileron2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Stabilito!$E$132:$E$136</c:f>
              <c:numCache>
                <c:formatCode>0</c:formatCode>
                <c:ptCount val="5"/>
                <c:pt idx="0">
                  <c:v>-32</c:v>
                </c:pt>
                <c:pt idx="1">
                  <c:v>-191</c:v>
                </c:pt>
                <c:pt idx="2">
                  <c:v>-191</c:v>
                </c:pt>
                <c:pt idx="3">
                  <c:v>-32</c:v>
                </c:pt>
                <c:pt idx="4">
                  <c:v>-32</c:v>
                </c:pt>
              </c:numCache>
            </c:numRef>
          </c:xVal>
          <c:yVal>
            <c:numRef>
              <c:f>Stabilito!$C$132:$C$136</c:f>
              <c:numCache>
                <c:formatCode>0</c:formatCode>
                <c:ptCount val="5"/>
                <c:pt idx="0">
                  <c:v>-1486</c:v>
                </c:pt>
                <c:pt idx="1">
                  <c:v>-1700</c:v>
                </c:pt>
                <c:pt idx="2">
                  <c:v>-1810</c:v>
                </c:pt>
                <c:pt idx="3">
                  <c:v>-1750</c:v>
                </c:pt>
                <c:pt idx="4">
                  <c:v>-1486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E-8D4F-A848-A4470DE867AA}"/>
            </c:ext>
          </c:extLst>
        </c:ser>
        <c:ser>
          <c:idx val="4"/>
          <c:order val="4"/>
          <c:tx>
            <c:strRef>
              <c:f>Stabilito!$B$12</c:f>
              <c:strCache>
                <c:ptCount val="1"/>
                <c:pt idx="0">
                  <c:v>Centre de Masse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FF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Stabilito!$D$149:$D$150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Stabilito!$C$149:$C$150</c:f>
              <c:numCache>
                <c:formatCode>0</c:formatCode>
                <c:ptCount val="2"/>
                <c:pt idx="0">
                  <c:v>-946.97682039804977</c:v>
                </c:pt>
                <c:pt idx="1">
                  <c:v>-839.57191201353635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5E-8D4F-A848-A4470DE867AA}"/>
            </c:ext>
          </c:extLst>
        </c:ser>
        <c:ser>
          <c:idx val="5"/>
          <c:order val="5"/>
          <c:tx>
            <c:strRef>
              <c:f>Stabilito!$F$28</c:f>
              <c:strCache>
                <c:ptCount val="1"/>
                <c:pt idx="0">
                  <c:v>Portance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8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Stabilito!$D$151:$D$154</c:f>
              <c:numCache>
                <c:formatCode>0</c:formatCode>
                <c:ptCount val="4"/>
                <c:pt idx="0">
                  <c:v>0</c:v>
                </c:pt>
                <c:pt idx="1">
                  <c:v>132.79547483627061</c:v>
                </c:pt>
                <c:pt idx="2">
                  <c:v>170.7269086825512</c:v>
                </c:pt>
                <c:pt idx="3">
                  <c:v>0</c:v>
                </c:pt>
              </c:numCache>
            </c:numRef>
          </c:xVal>
          <c:yVal>
            <c:numRef>
              <c:f>Stabilito!$C$151:$C$154</c:f>
              <c:numCache>
                <c:formatCode>0</c:formatCode>
                <c:ptCount val="4"/>
                <c:pt idx="0">
                  <c:v>-1259.053722302812</c:v>
                </c:pt>
                <c:pt idx="1">
                  <c:v>-1259.053722302812</c:v>
                </c:pt>
                <c:pt idx="2">
                  <c:v>-1338.2289101396648</c:v>
                </c:pt>
                <c:pt idx="3">
                  <c:v>-1338.2289101396648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E-8D4F-A848-A4470DE867AA}"/>
            </c:ext>
          </c:extLst>
        </c:ser>
        <c:ser>
          <c:idx val="6"/>
          <c:order val="6"/>
          <c:tx>
            <c:v>canard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Stabilito!$D$158:$D$162</c:f>
              <c:numCache>
                <c:formatCode>0</c:formatCode>
                <c:ptCount val="5"/>
                <c:pt idx="0">
                  <c:v>32</c:v>
                </c:pt>
                <c:pt idx="1">
                  <c:v>132</c:v>
                </c:pt>
                <c:pt idx="2">
                  <c:v>132</c:v>
                </c:pt>
                <c:pt idx="3">
                  <c:v>32</c:v>
                </c:pt>
                <c:pt idx="4">
                  <c:v>32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-822</c:v>
                </c:pt>
                <c:pt idx="1">
                  <c:v>-962</c:v>
                </c:pt>
                <c:pt idx="2">
                  <c:v>-1042</c:v>
                </c:pt>
                <c:pt idx="3">
                  <c:v>-1000</c:v>
                </c:pt>
                <c:pt idx="4">
                  <c:v>-822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5E-8D4F-A848-A4470DE867AA}"/>
            </c:ext>
          </c:extLst>
        </c:ser>
        <c:ser>
          <c:idx val="7"/>
          <c:order val="7"/>
          <c:tx>
            <c:v>canard2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Stabilito!$E$158:$E$162</c:f>
              <c:numCache>
                <c:formatCode>0</c:formatCode>
                <c:ptCount val="5"/>
                <c:pt idx="0">
                  <c:v>-32</c:v>
                </c:pt>
                <c:pt idx="1">
                  <c:v>-132</c:v>
                </c:pt>
                <c:pt idx="2">
                  <c:v>-132</c:v>
                </c:pt>
                <c:pt idx="3">
                  <c:v>-32</c:v>
                </c:pt>
                <c:pt idx="4">
                  <c:v>-32</c:v>
                </c:pt>
              </c:numCache>
            </c:numRef>
          </c:xVal>
          <c:yVal>
            <c:numRef>
              <c:f>Stabilito!$C$158:$C$162</c:f>
              <c:numCache>
                <c:formatCode>0</c:formatCode>
                <c:ptCount val="5"/>
                <c:pt idx="0">
                  <c:v>-822</c:v>
                </c:pt>
                <c:pt idx="1">
                  <c:v>-962</c:v>
                </c:pt>
                <c:pt idx="2">
                  <c:v>-1042</c:v>
                </c:pt>
                <c:pt idx="3">
                  <c:v>-1000</c:v>
                </c:pt>
                <c:pt idx="4">
                  <c:v>-822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5E-8D4F-A848-A4470DE867AA}"/>
            </c:ext>
          </c:extLst>
        </c:ser>
        <c:ser>
          <c:idx val="8"/>
          <c:order val="8"/>
          <c:tx>
            <c:v>masquage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Stabilito!$D$163:$D$167</c:f>
              <c:numCache>
                <c:formatCode>0</c:formatCode>
                <c:ptCount val="5"/>
                <c:pt idx="0">
                  <c:v>32</c:v>
                </c:pt>
                <c:pt idx="1">
                  <c:v>160</c:v>
                </c:pt>
                <c:pt idx="2">
                  <c:v>160</c:v>
                </c:pt>
                <c:pt idx="3">
                  <c:v>32</c:v>
                </c:pt>
                <c:pt idx="4">
                  <c:v>32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-1486</c:v>
                </c:pt>
                <c:pt idx="1">
                  <c:v>-1658.2767295597484</c:v>
                </c:pt>
                <c:pt idx="2">
                  <c:v>-1798.3018867924529</c:v>
                </c:pt>
                <c:pt idx="3">
                  <c:v>-1750</c:v>
                </c:pt>
                <c:pt idx="4">
                  <c:v>-1486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5E-8D4F-A848-A4470DE867AA}"/>
            </c:ext>
          </c:extLst>
        </c:ser>
        <c:ser>
          <c:idx val="9"/>
          <c:order val="9"/>
          <c:tx>
            <c:v>masquage2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Stabilito!$E$163:$E$167</c:f>
              <c:numCache>
                <c:formatCode>0</c:formatCode>
                <c:ptCount val="5"/>
                <c:pt idx="0">
                  <c:v>-32</c:v>
                </c:pt>
                <c:pt idx="1">
                  <c:v>-160</c:v>
                </c:pt>
                <c:pt idx="2">
                  <c:v>-160</c:v>
                </c:pt>
                <c:pt idx="3">
                  <c:v>-32</c:v>
                </c:pt>
                <c:pt idx="4">
                  <c:v>-32</c:v>
                </c:pt>
              </c:numCache>
            </c:numRef>
          </c:xVal>
          <c:yVal>
            <c:numRef>
              <c:f>Stabilito!$C$163:$C$167</c:f>
              <c:numCache>
                <c:formatCode>0</c:formatCode>
                <c:ptCount val="5"/>
                <c:pt idx="0">
                  <c:v>-1486</c:v>
                </c:pt>
                <c:pt idx="1">
                  <c:v>-1658.2767295597484</c:v>
                </c:pt>
                <c:pt idx="2">
                  <c:v>-1798.3018867924529</c:v>
                </c:pt>
                <c:pt idx="3">
                  <c:v>-1750</c:v>
                </c:pt>
                <c:pt idx="4">
                  <c:v>-1486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C5E-8D4F-A848-A4470DE867AA}"/>
            </c:ext>
          </c:extLst>
        </c:ser>
        <c:ser>
          <c:idx val="10"/>
          <c:order val="10"/>
          <c:tx>
            <c:v>cadre</c:v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none"/>
          </c:marker>
          <c:xVal>
            <c:numRef>
              <c:f>Stabilito!$D$168:$D$169</c:f>
              <c:numCache>
                <c:formatCode>0</c:formatCode>
                <c:ptCount val="2"/>
                <c:pt idx="0">
                  <c:v>600</c:v>
                </c:pt>
                <c:pt idx="1">
                  <c:v>-600</c:v>
                </c:pt>
              </c:numCache>
            </c:numRef>
          </c:xVal>
          <c:yVal>
            <c:numRef>
              <c:f>Stabilito!$C$168:$C$169</c:f>
              <c:numCache>
                <c:formatCode>0</c:formatCode>
                <c:ptCount val="2"/>
                <c:pt idx="0">
                  <c:v>-1828.1</c:v>
                </c:pt>
                <c:pt idx="1">
                  <c:v>-1828.1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C5E-8D4F-A848-A4470DE867AA}"/>
            </c:ext>
          </c:extLst>
        </c:ser>
        <c:ser>
          <c:idx val="11"/>
          <c:order val="11"/>
          <c:tx>
            <c:v>Propu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Stabilito!$D$170:$D$174</c:f>
              <c:numCache>
                <c:formatCode>0</c:formatCode>
                <c:ptCount val="5"/>
                <c:pt idx="0">
                  <c:v>-37.5</c:v>
                </c:pt>
                <c:pt idx="1">
                  <c:v>37.5</c:v>
                </c:pt>
                <c:pt idx="2">
                  <c:v>37.5</c:v>
                </c:pt>
                <c:pt idx="3">
                  <c:v>-37.5</c:v>
                </c:pt>
                <c:pt idx="4">
                  <c:v>-37.5</c:v>
                </c:pt>
              </c:numCache>
            </c:numRef>
          </c:xVal>
          <c:yVal>
            <c:numRef>
              <c:f>Stabilito!$C$170:$C$174</c:f>
              <c:numCache>
                <c:formatCode>0</c:formatCode>
                <c:ptCount val="5"/>
                <c:pt idx="0">
                  <c:v>-1314</c:v>
                </c:pt>
                <c:pt idx="1">
                  <c:v>-1314</c:v>
                </c:pt>
                <c:pt idx="2">
                  <c:v>-1800</c:v>
                </c:pt>
                <c:pt idx="3">
                  <c:v>-1800</c:v>
                </c:pt>
                <c:pt idx="4">
                  <c:v>-1314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C5E-8D4F-A848-A4470DE867AA}"/>
            </c:ext>
          </c:extLst>
        </c:ser>
        <c:ser>
          <c:idx val="12"/>
          <c:order val="12"/>
          <c:tx>
            <c:v>Cone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Stabilito!$D$175:$D$180</c:f>
              <c:numCache>
                <c:formatCode>0</c:formatCode>
                <c:ptCount val="6"/>
                <c:pt idx="0">
                  <c:v>0</c:v>
                </c:pt>
                <c:pt idx="1">
                  <c:v>3.2</c:v>
                </c:pt>
                <c:pt idx="2">
                  <c:v>8</c:v>
                </c:pt>
                <c:pt idx="3">
                  <c:v>16</c:v>
                </c:pt>
                <c:pt idx="4">
                  <c:v>24</c:v>
                </c:pt>
                <c:pt idx="5">
                  <c:v>32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-28</c:v>
                </c:pt>
                <c:pt idx="2">
                  <c:v>-70</c:v>
                </c:pt>
                <c:pt idx="3">
                  <c:v>-140</c:v>
                </c:pt>
                <c:pt idx="4">
                  <c:v>-210</c:v>
                </c:pt>
                <c:pt idx="5">
                  <c:v>-280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C5E-8D4F-A848-A4470DE867AA}"/>
            </c:ext>
          </c:extLst>
        </c:ser>
        <c:ser>
          <c:idx val="13"/>
          <c:order val="13"/>
          <c:tx>
            <c:v>Cone1</c:v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Stabilito!$E$175:$E$180</c:f>
              <c:numCache>
                <c:formatCode>0</c:formatCode>
                <c:ptCount val="6"/>
                <c:pt idx="0">
                  <c:v>0</c:v>
                </c:pt>
                <c:pt idx="1">
                  <c:v>-3.2</c:v>
                </c:pt>
                <c:pt idx="2">
                  <c:v>-8</c:v>
                </c:pt>
                <c:pt idx="3">
                  <c:v>-16</c:v>
                </c:pt>
                <c:pt idx="4">
                  <c:v>-24</c:v>
                </c:pt>
                <c:pt idx="5">
                  <c:v>-32</c:v>
                </c:pt>
              </c:numCache>
            </c:numRef>
          </c:xVal>
          <c:yVal>
            <c:numRef>
              <c:f>Stabilito!$C$175:$C$180</c:f>
              <c:numCache>
                <c:formatCode>0</c:formatCode>
                <c:ptCount val="6"/>
                <c:pt idx="0">
                  <c:v>0</c:v>
                </c:pt>
                <c:pt idx="1">
                  <c:v>-28</c:v>
                </c:pt>
                <c:pt idx="2">
                  <c:v>-70</c:v>
                </c:pt>
                <c:pt idx="3">
                  <c:v>-140</c:v>
                </c:pt>
                <c:pt idx="4">
                  <c:v>-210</c:v>
                </c:pt>
                <c:pt idx="5">
                  <c:v>-280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C5E-8D4F-A848-A4470DE867AA}"/>
            </c:ext>
          </c:extLst>
        </c:ser>
        <c:ser>
          <c:idx val="14"/>
          <c:order val="14"/>
          <c:tx>
            <c:strRef>
              <c:f>Stabilito!$B$137</c:f>
              <c:strCache>
                <c:ptCount val="1"/>
                <c:pt idx="0">
                  <c:v>Envergure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Stabilito!$D$137:$D$139</c:f>
              <c:numCache>
                <c:formatCode>0</c:formatCode>
                <c:ptCount val="3"/>
                <c:pt idx="0">
                  <c:v>-191</c:v>
                </c:pt>
                <c:pt idx="1">
                  <c:v>-111.5</c:v>
                </c:pt>
                <c:pt idx="2">
                  <c:v>-32</c:v>
                </c:pt>
              </c:numCache>
            </c:numRef>
          </c:xVal>
          <c:yVal>
            <c:numRef>
              <c:f>Stabilito!$C$137:$C$139</c:f>
              <c:numCache>
                <c:formatCode>0</c:formatCode>
                <c:ptCount val="3"/>
                <c:pt idx="0">
                  <c:v>-1870</c:v>
                </c:pt>
                <c:pt idx="1">
                  <c:v>-1870</c:v>
                </c:pt>
                <c:pt idx="2">
                  <c:v>-1870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C5E-8D4F-A848-A4470DE867AA}"/>
            </c:ext>
          </c:extLst>
        </c:ser>
        <c:ser>
          <c:idx val="15"/>
          <c:order val="15"/>
          <c:tx>
            <c:strRef>
              <c:f>Stabilito!$B$143</c:f>
              <c:strCache>
                <c:ptCount val="1"/>
                <c:pt idx="0">
                  <c:v>Flèche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Stabilito!$D$143:$D$145</c:f>
              <c:numCache>
                <c:formatCode>0</c:formatCode>
                <c:ptCount val="3"/>
                <c:pt idx="0">
                  <c:v>-251</c:v>
                </c:pt>
                <c:pt idx="1">
                  <c:v>-251</c:v>
                </c:pt>
                <c:pt idx="2">
                  <c:v>-251</c:v>
                </c:pt>
              </c:numCache>
            </c:numRef>
          </c:xVal>
          <c:yVal>
            <c:numRef>
              <c:f>Stabilito!$C$143:$C$145</c:f>
              <c:numCache>
                <c:formatCode>0</c:formatCode>
                <c:ptCount val="3"/>
                <c:pt idx="0">
                  <c:v>-1486</c:v>
                </c:pt>
                <c:pt idx="1">
                  <c:v>-1593</c:v>
                </c:pt>
                <c:pt idx="2">
                  <c:v>-1700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C5E-8D4F-A848-A4470DE867AA}"/>
            </c:ext>
          </c:extLst>
        </c:ser>
        <c:ser>
          <c:idx val="16"/>
          <c:order val="16"/>
          <c:tx>
            <c:strRef>
              <c:f>Stabilito!$B$146</c:f>
              <c:strCache>
                <c:ptCount val="1"/>
                <c:pt idx="0">
                  <c:v>Saumon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Stabilito!$D$146:$D$148</c:f>
              <c:numCache>
                <c:formatCode>0</c:formatCode>
                <c:ptCount val="3"/>
                <c:pt idx="0">
                  <c:v>-281</c:v>
                </c:pt>
                <c:pt idx="1">
                  <c:v>-281</c:v>
                </c:pt>
                <c:pt idx="2">
                  <c:v>-281</c:v>
                </c:pt>
              </c:numCache>
            </c:numRef>
          </c:xVal>
          <c:yVal>
            <c:numRef>
              <c:f>Stabilito!$C$146:$C$148</c:f>
              <c:numCache>
                <c:formatCode>0</c:formatCode>
                <c:ptCount val="3"/>
                <c:pt idx="0">
                  <c:v>-1700</c:v>
                </c:pt>
                <c:pt idx="1">
                  <c:v>-1755</c:v>
                </c:pt>
                <c:pt idx="2">
                  <c:v>-1810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C5E-8D4F-A848-A4470DE867AA}"/>
            </c:ext>
          </c:extLst>
        </c:ser>
        <c:ser>
          <c:idx val="17"/>
          <c:order val="17"/>
          <c:tx>
            <c:strRef>
              <c:f>Stabilito!$B$140</c:f>
              <c:strCache>
                <c:ptCount val="1"/>
                <c:pt idx="0">
                  <c:v>Emplanture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Stabilito!$D$140:$D$142</c:f>
              <c:numCache>
                <c:formatCode>0</c:formatCode>
                <c:ptCount val="3"/>
                <c:pt idx="0">
                  <c:v>281</c:v>
                </c:pt>
                <c:pt idx="1">
                  <c:v>281</c:v>
                </c:pt>
                <c:pt idx="2">
                  <c:v>281</c:v>
                </c:pt>
              </c:numCache>
            </c:numRef>
          </c:xVal>
          <c:yVal>
            <c:numRef>
              <c:f>Stabilito!$C$140:$C$142</c:f>
              <c:numCache>
                <c:formatCode>0</c:formatCode>
                <c:ptCount val="3"/>
                <c:pt idx="0">
                  <c:v>-1486</c:v>
                </c:pt>
                <c:pt idx="1">
                  <c:v>-1618</c:v>
                </c:pt>
                <c:pt idx="2">
                  <c:v>-1750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C5E-8D4F-A848-A4470DE867AA}"/>
            </c:ext>
          </c:extLst>
        </c:ser>
        <c:ser>
          <c:idx val="18"/>
          <c:order val="18"/>
          <c:tx>
            <c:strRef>
              <c:f>Stabilito!$B$155</c:f>
              <c:strCache>
                <c:ptCount val="1"/>
                <c:pt idx="0">
                  <c:v>Marge Statique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C5E-8D4F-A848-A4470DE867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Stabilito!$D$155:$D$157</c:f>
              <c:numCache>
                <c:formatCode>0</c:formatCode>
                <c:ptCount val="3"/>
                <c:pt idx="0">
                  <c:v>-281</c:v>
                </c:pt>
                <c:pt idx="1">
                  <c:v>-281</c:v>
                </c:pt>
                <c:pt idx="2">
                  <c:v>-281</c:v>
                </c:pt>
              </c:numCache>
            </c:numRef>
          </c:xVal>
          <c:yVal>
            <c:numRef>
              <c:f>Stabilito!$C$155:$C$157</c:f>
              <c:numCache>
                <c:formatCode>0</c:formatCode>
                <c:ptCount val="3"/>
                <c:pt idx="0">
                  <c:v>-893.27436620579306</c:v>
                </c:pt>
                <c:pt idx="1">
                  <c:v>-1076.1640442543026</c:v>
                </c:pt>
                <c:pt idx="2">
                  <c:v>-1259.053722302812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C5E-8D4F-A848-A4470DE8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155984"/>
        <c:axId val="1"/>
      </c:scatterChart>
      <c:valAx>
        <c:axId val="1806155984"/>
        <c:scaling>
          <c:orientation val="minMax"/>
        </c:scaling>
        <c:delete val="0"/>
        <c:axPos val="t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max"/>
        <c:crossBetween val="midCat"/>
      </c:valAx>
      <c:valAx>
        <c:axId val="1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155984"/>
        <c:crosses val="max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89" footer="0.49212598450000089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Stabilito!$B$117</c:f>
          <c:strCache>
            <c:ptCount val="1"/>
            <c:pt idx="0">
              <c:v>Diagramme des critères de stabilité</c:v>
            </c:pt>
          </c:strCache>
        </c:strRef>
      </c:tx>
      <c:layout>
        <c:manualLayout>
          <c:xMode val="edge"/>
          <c:yMode val="edge"/>
          <c:x val="0.19620910443519402"/>
          <c:y val="8.0214173228346453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5092838196286504E-2"/>
          <c:y val="5.8823683008029461E-2"/>
          <c:w val="0.93899204244031864"/>
          <c:h val="0.8288791696585972"/>
        </c:manualLayout>
      </c:layout>
      <c:scatterChart>
        <c:scatterStyle val="smoothMarker"/>
        <c:varyColors val="0"/>
        <c:ser>
          <c:idx val="0"/>
          <c:order val="0"/>
          <c:tx>
            <c:v>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Stabilito!$B$182:$B$183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Stabilito!$C$182:$C$183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48-824B-8B6E-E20872B57592}"/>
            </c:ext>
          </c:extLst>
        </c:ser>
        <c:ser>
          <c:idx val="1"/>
          <c:order val="1"/>
          <c:tx>
            <c:v>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Stabilito!$B$184:$B$185</c:f>
              <c:numCache>
                <c:formatCode>General</c:formatCode>
                <c:ptCount val="2"/>
                <c:pt idx="0">
                  <c:v>0</c:v>
                </c:pt>
                <c:pt idx="1">
                  <c:v>7</c:v>
                </c:pt>
              </c:numCache>
            </c:numRef>
          </c:xVal>
          <c:yVal>
            <c:numRef>
              <c:f>Stabilito!$C$184:$C$185</c:f>
              <c:numCache>
                <c:formatCode>General</c:formatCode>
                <c:ptCount val="2"/>
                <c:pt idx="0">
                  <c:v>40</c:v>
                </c:pt>
                <c:pt idx="1">
                  <c:v>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48-824B-8B6E-E20872B57592}"/>
            </c:ext>
          </c:extLst>
        </c:ser>
        <c:ser>
          <c:idx val="2"/>
          <c:order val="2"/>
          <c:tx>
            <c:v>MS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Stabilito!$B$186:$B$187</c:f>
              <c:numCache>
                <c:formatCode>General</c:formatCode>
                <c:ptCount val="2"/>
                <c:pt idx="0">
                  <c:v>2</c:v>
                </c:pt>
                <c:pt idx="1">
                  <c:v>2</c:v>
                </c:pt>
              </c:numCache>
            </c:numRef>
          </c:xVal>
          <c:yVal>
            <c:numRef>
              <c:f>Stabilito!$C$186:$C$187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48-824B-8B6E-E20872B57592}"/>
            </c:ext>
          </c:extLst>
        </c:ser>
        <c:ser>
          <c:idx val="3"/>
          <c:order val="3"/>
          <c:tx>
            <c:v>MS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Stabilito!$B$188:$B$189</c:f>
              <c:numCache>
                <c:formatCode>General</c:formatCode>
                <c:ptCount val="2"/>
                <c:pt idx="0">
                  <c:v>6</c:v>
                </c:pt>
                <c:pt idx="1">
                  <c:v>6</c:v>
                </c:pt>
              </c:numCache>
            </c:numRef>
          </c:xVal>
          <c:yVal>
            <c:numRef>
              <c:f>Stabilito!$C$188:$C$189</c:f>
              <c:numCache>
                <c:formatCode>General</c:formatCode>
                <c:ptCount val="2"/>
                <c:pt idx="0">
                  <c:v>0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248-824B-8B6E-E20872B57592}"/>
            </c:ext>
          </c:extLst>
        </c:ser>
        <c:ser>
          <c:idx val="5"/>
          <c:order val="6"/>
          <c:tx>
            <c:v>MS*Cna min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Stabilito!$D$182:$D$187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</c:numCache>
            </c:numRef>
          </c:xVal>
          <c:yVal>
            <c:numRef>
              <c:f>Stabilito!$E$182:$E$187</c:f>
              <c:numCache>
                <c:formatCode>General</c:formatCode>
                <c:ptCount val="6"/>
                <c:pt idx="0">
                  <c:v>80</c:v>
                </c:pt>
                <c:pt idx="1">
                  <c:v>40</c:v>
                </c:pt>
                <c:pt idx="2">
                  <c:v>20</c:v>
                </c:pt>
                <c:pt idx="3">
                  <c:v>13.333333333333334</c:v>
                </c:pt>
                <c:pt idx="4">
                  <c:v>8</c:v>
                </c:pt>
                <c:pt idx="5">
                  <c:v>5.7142857142857144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48-824B-8B6E-E20872B57592}"/>
            </c:ext>
          </c:extLst>
        </c:ser>
        <c:ser>
          <c:idx val="6"/>
          <c:order val="7"/>
          <c:tx>
            <c:v>MS*Cna max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Stabilito!$D$188:$D$193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Stabilito!$E$188:$E$193</c:f>
              <c:numCache>
                <c:formatCode>General</c:formatCode>
                <c:ptCount val="6"/>
                <c:pt idx="0">
                  <c:v>100</c:v>
                </c:pt>
                <c:pt idx="1">
                  <c:v>50</c:v>
                </c:pt>
                <c:pt idx="2">
                  <c:v>33.333333333333336</c:v>
                </c:pt>
                <c:pt idx="3">
                  <c:v>25</c:v>
                </c:pt>
                <c:pt idx="4">
                  <c:v>16.666666666666668</c:v>
                </c:pt>
                <c:pt idx="5">
                  <c:v>14.285714285714286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248-824B-8B6E-E20872B57592}"/>
            </c:ext>
          </c:extLst>
        </c:ser>
        <c:ser>
          <c:idx val="7"/>
          <c:order val="8"/>
          <c:tx>
            <c:v>Cna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Stabilito!$B$195:$B$196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Stabilito!$C$195:$C$196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248-824B-8B6E-E20872B57592}"/>
            </c:ext>
          </c:extLst>
        </c:ser>
        <c:ser>
          <c:idx val="8"/>
          <c:order val="9"/>
          <c:tx>
            <c:v>Cna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Stabilito!$B$197:$B$198</c:f>
              <c:numCache>
                <c:formatCode>General</c:formatCode>
                <c:ptCount val="2"/>
                <c:pt idx="0">
                  <c:v>3.6363636363636362</c:v>
                </c:pt>
                <c:pt idx="1">
                  <c:v>7</c:v>
                </c:pt>
              </c:numCache>
            </c:numRef>
          </c:xVal>
          <c:yVal>
            <c:numRef>
              <c:f>Stabilito!$C$197:$C$198</c:f>
              <c:numCache>
                <c:formatCode>General</c:formatCode>
                <c:ptCount val="2"/>
                <c:pt idx="0">
                  <c:v>27.5</c:v>
                </c:pt>
                <c:pt idx="1">
                  <c:v>27.5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48-824B-8B6E-E20872B57592}"/>
            </c:ext>
          </c:extLst>
        </c:ser>
        <c:ser>
          <c:idx val="9"/>
          <c:order val="10"/>
          <c:tx>
            <c:v>MS moy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Stabilito!$B$199:$B$200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Stabilito!$C$199:$C$200</c:f>
              <c:numCache>
                <c:formatCode>General</c:formatCode>
                <c:ptCount val="2"/>
                <c:pt idx="0">
                  <c:v>0</c:v>
                </c:pt>
                <c:pt idx="1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48-824B-8B6E-E20872B57592}"/>
            </c:ext>
          </c:extLst>
        </c:ser>
        <c:ser>
          <c:idx val="10"/>
          <c:order val="11"/>
          <c:tx>
            <c:v>MS moy2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Stabilito!$B$201:$B$202</c:f>
              <c:numCache>
                <c:formatCode>General</c:formatCode>
                <c:ptCount val="2"/>
                <c:pt idx="0">
                  <c:v>4</c:v>
                </c:pt>
                <c:pt idx="1">
                  <c:v>4</c:v>
                </c:pt>
              </c:numCache>
            </c:numRef>
          </c:xVal>
          <c:yVal>
            <c:numRef>
              <c:f>Stabilito!$C$201:$C$202</c:f>
              <c:numCache>
                <c:formatCode>General</c:formatCode>
                <c:ptCount val="2"/>
                <c:pt idx="0">
                  <c:v>25</c:v>
                </c:pt>
                <c:pt idx="1">
                  <c:v>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248-824B-8B6E-E20872B5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58336"/>
        <c:axId val="1"/>
      </c:scatterChart>
      <c:scatterChart>
        <c:scatterStyle val="lineMarker"/>
        <c:varyColors val="0"/>
        <c:ser>
          <c:idx val="4"/>
          <c:order val="4"/>
          <c:tx>
            <c:v>Fusée en cours</c:v>
          </c:tx>
          <c:spPr>
            <a:ln w="25400">
              <a:solidFill>
                <a:schemeClr val="tx1"/>
              </a:solidFill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Stabilito!$B$190:$B$193</c:f>
              <c:numCache>
                <c:formatCode>0.00</c:formatCode>
                <c:ptCount val="4"/>
                <c:pt idx="0">
                  <c:v>2.6006408492063522</c:v>
                </c:pt>
                <c:pt idx="1">
                  <c:v>3.2604340811801249</c:v>
                </c:pt>
                <c:pt idx="2">
                  <c:v>4.1554749843844032</c:v>
                </c:pt>
                <c:pt idx="3">
                  <c:v>3.4956817524106309</c:v>
                </c:pt>
              </c:numCache>
            </c:numRef>
          </c:xVal>
          <c:yVal>
            <c:numRef>
              <c:f>Stabilito!$C$190:$C$193</c:f>
              <c:numCache>
                <c:formatCode>0.00</c:formatCode>
                <c:ptCount val="4"/>
                <c:pt idx="0">
                  <c:v>16.599434354533827</c:v>
                </c:pt>
                <c:pt idx="1">
                  <c:v>21.3408635853189</c:v>
                </c:pt>
                <c:pt idx="2">
                  <c:v>21.3408635853189</c:v>
                </c:pt>
                <c:pt idx="3">
                  <c:v>16.599434354533827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8-824B-8B6E-E20872B57592}"/>
            </c:ext>
          </c:extLst>
        </c:ser>
        <c:ser>
          <c:idx val="11"/>
          <c:order val="5"/>
          <c:tx>
            <c:v>Fusée en cours0</c:v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Stabilito!$B$193:$B$194</c:f>
              <c:numCache>
                <c:formatCode>0.00</c:formatCode>
                <c:ptCount val="2"/>
                <c:pt idx="0">
                  <c:v>3.4956817524106309</c:v>
                </c:pt>
                <c:pt idx="1">
                  <c:v>2.6006408492063522</c:v>
                </c:pt>
              </c:numCache>
            </c:numRef>
          </c:xVal>
          <c:yVal>
            <c:numRef>
              <c:f>Stabilito!$C$193:$C$194</c:f>
              <c:numCache>
                <c:formatCode>0.00</c:formatCode>
                <c:ptCount val="2"/>
                <c:pt idx="0">
                  <c:v>16.599434354533827</c:v>
                </c:pt>
                <c:pt idx="1">
                  <c:v>16.599434354533827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248-824B-8B6E-E20872B5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258336"/>
        <c:axId val="1"/>
      </c:scatterChart>
      <c:valAx>
        <c:axId val="1806258336"/>
        <c:scaling>
          <c:orientation val="minMax"/>
          <c:max val="7"/>
          <c:min val="0"/>
        </c:scaling>
        <c:delete val="0"/>
        <c:axPos val="b"/>
        <c:title>
          <c:tx>
            <c:strRef>
              <c:f>Stabilito!$B$118</c:f>
              <c:strCache>
                <c:ptCount val="1"/>
                <c:pt idx="0">
                  <c:v>Marge Statique (MS)</c:v>
                </c:pt>
              </c:strCache>
            </c:strRef>
          </c:tx>
          <c:layout>
            <c:manualLayout>
              <c:xMode val="edge"/>
              <c:yMode val="edge"/>
              <c:x val="0.51717271009913568"/>
              <c:y val="0.73094047244094484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55"/>
          <c:min val="0"/>
        </c:scaling>
        <c:delete val="0"/>
        <c:axPos val="l"/>
        <c:title>
          <c:tx>
            <c:strRef>
              <c:f>Stabilito!$B$119</c:f>
              <c:strCache>
                <c:ptCount val="1"/>
                <c:pt idx="0">
                  <c:v>Portance Cnα</c:v>
                </c:pt>
              </c:strCache>
            </c:strRef>
          </c:tx>
          <c:layout>
            <c:manualLayout>
              <c:xMode val="edge"/>
              <c:yMode val="edge"/>
              <c:x val="6.9119481083972784E-2"/>
              <c:y val="0.24099905511811026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2583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49212598450000089" footer="0.49212598450000089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Trajecto!$B$110</c:f>
          <c:strCache>
            <c:ptCount val="1"/>
            <c:pt idx="0">
              <c:v>Trajectoire (x z)</c:v>
            </c:pt>
          </c:strCache>
        </c:strRef>
      </c:tx>
      <c:layout>
        <c:manualLayout>
          <c:xMode val="edge"/>
          <c:yMode val="edge"/>
          <c:x val="0.66868786671936276"/>
          <c:y val="3.857574406972712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9697175950449913E-2"/>
          <c:y val="3.5608360198500402E-2"/>
          <c:w val="0.89697235136230857"/>
          <c:h val="0.89614373166225958"/>
        </c:manualLayout>
      </c:layout>
      <c:scatterChart>
        <c:scatterStyle val="lineMarker"/>
        <c:varyColors val="0"/>
        <c:ser>
          <c:idx val="0"/>
          <c:order val="0"/>
          <c:tx>
            <c:v>Point invisible pour mise à l'echelle</c:v>
          </c:tx>
          <c:spPr>
            <a:ln w="3175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Trajecto!$B$120</c:f>
              <c:numCache>
                <c:formatCode>0</c:formatCode>
                <c:ptCount val="1"/>
                <c:pt idx="0">
                  <c:v>2003.535757896926</c:v>
                </c:pt>
              </c:numCache>
            </c:numRef>
          </c:xVal>
          <c:yVal>
            <c:numRef>
              <c:f>Trajecto!$C$118</c:f>
              <c:numCache>
                <c:formatCode>0</c:formatCode>
                <c:ptCount val="1"/>
                <c:pt idx="0">
                  <c:v>2003.535757896926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3B-6442-AFEC-07E56791BA28}"/>
            </c:ext>
          </c:extLst>
        </c:ser>
        <c:ser>
          <c:idx val="1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Calculs!$AD$4:$AD$1004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3.4318360049180918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14.876537067553089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33.932900457753469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58.920011055005389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87.004819160319585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113.11261309206334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137.15048680797921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159.54050104933967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180.59750462865546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200.56389980922017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219.63141883611215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237.95536072492354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255.66423342060591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272.86647225695435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289.65521154017165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306.11167005310153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322.30739957742412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338.30525472769966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354.15806611804953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369.90212298754705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385.54495565522416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401.06297074281815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416.41504204285235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431.55419747003043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446.43297565899076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461.00589260791543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475.23079628696706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489.06970383583121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502.4893308128747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515.46139887852348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527.96276637864503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539.97541159711886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551.486293391613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562.48711215801109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572.97399312097116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582.94711286495226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592.41028849172892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601.3705467989538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609.83768853085473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617.82386021389925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625.34314351588318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632.41116959296983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2002.1392842809096</c:v>
                </c:pt>
                <c:pt idx="642">
                  <c:v>2002.615261569302</c:v>
                </c:pt>
                <c:pt idx="643">
                  <c:v>2002.9928313494229</c:v>
                </c:pt>
                <c:pt idx="644">
                  <c:v>2003.272061141043</c:v>
                </c:pt>
                <c:pt idx="645">
                  <c:v>2003.4530157473921</c:v>
                </c:pt>
                <c:pt idx="646">
                  <c:v>2003.535757896926</c:v>
                </c:pt>
                <c:pt idx="647">
                  <c:v>2003.5203489170669</c:v>
                </c:pt>
                <c:pt idx="648">
                  <c:v>2003.4068494294199</c:v>
                </c:pt>
                <c:pt idx="649">
                  <c:v>2003.19532005418</c:v>
                </c:pt>
                <c:pt idx="650">
                  <c:v>2002.8858221105345</c:v>
                </c:pt>
                <c:pt idx="651">
                  <c:v>2002.4784182999831</c:v>
                </c:pt>
                <c:pt idx="652">
                  <c:v>2001.9731733606257</c:v>
                </c:pt>
                <c:pt idx="653">
                  <c:v>2001.3701546824275</c:v>
                </c:pt>
                <c:pt idx="654">
                  <c:v>2000.6694328759665</c:v>
                </c:pt>
                <c:pt idx="655">
                  <c:v>1999.8710822898593</c:v>
                </c:pt>
                <c:pt idx="656">
                  <c:v>1998.9751814746569</c:v>
                </c:pt>
                <c:pt idx="657">
                  <c:v>1997.981813593248</c:v>
                </c:pt>
                <c:pt idx="658">
                  <c:v>1996.8910667795931</c:v>
                </c:pt>
                <c:pt idx="659">
                  <c:v>1995.703034448888</c:v>
                </c:pt>
                <c:pt idx="660">
                  <c:v>1994.4178155630543</c:v>
                </c:pt>
                <c:pt idx="661">
                  <c:v>1993.0355148558504</c:v>
                </c:pt>
                <c:pt idx="662">
                  <c:v>1991.5562430219852</c:v>
                </c:pt>
                <c:pt idx="663">
                  <c:v>1989.9801168744748</c:v>
                </c:pt>
                <c:pt idx="664">
                  <c:v>1988.3072594742109</c:v>
                </c:pt>
                <c:pt idx="665">
                  <c:v>1986.5378002353468</c:v>
                </c:pt>
                <c:pt idx="666">
                  <c:v>1984.6718750097193</c:v>
                </c:pt>
                <c:pt idx="667">
                  <c:v>1982.7096261531346</c:v>
                </c:pt>
                <c:pt idx="668">
                  <c:v>1980.6512025759723</c:v>
                </c:pt>
                <c:pt idx="669">
                  <c:v>1978.4967597802211</c:v>
                </c:pt>
                <c:pt idx="670">
                  <c:v>1976.2464598847562</c:v>
                </c:pt>
                <c:pt idx="671">
                  <c:v>1973.9004716404002</c:v>
                </c:pt>
                <c:pt idx="672">
                  <c:v>1971.4589704360742</c:v>
                </c:pt>
                <c:pt idx="673">
                  <c:v>1968.9221382971534</c:v>
                </c:pt>
                <c:pt idx="674">
                  <c:v>1966.290163876964</c:v>
                </c:pt>
                <c:pt idx="675">
                  <c:v>1963.5632424422213</c:v>
                </c:pt>
                <c:pt idx="676">
                  <c:v>1960.7415758530863</c:v>
                </c:pt>
                <c:pt idx="677">
                  <c:v>1957.8253725384145</c:v>
                </c:pt>
                <c:pt idx="678">
                  <c:v>1954.8148474666878</c:v>
                </c:pt>
                <c:pt idx="679">
                  <c:v>1951.7102221130463</c:v>
                </c:pt>
                <c:pt idx="680">
                  <c:v>1948.5117244227822</c:v>
                </c:pt>
                <c:pt idx="681">
                  <c:v>1945.2195887715998</c:v>
                </c:pt>
                <c:pt idx="682">
                  <c:v>1941.8340559229105</c:v>
                </c:pt>
                <c:pt idx="683">
                  <c:v>1938.3553729823936</c:v>
                </c:pt>
                <c:pt idx="684">
                  <c:v>1934.7837933500227</c:v>
                </c:pt>
                <c:pt idx="685">
                  <c:v>1931.119576669736</c:v>
                </c:pt>
                <c:pt idx="686">
                  <c:v>1927.3629887769039</c:v>
                </c:pt>
                <c:pt idx="687">
                  <c:v>1923.514301643733</c:v>
                </c:pt>
                <c:pt idx="688">
                  <c:v>1919.5737933227285</c:v>
                </c:pt>
                <c:pt idx="689">
                  <c:v>1915.5417478883253</c:v>
                </c:pt>
                <c:pt idx="690">
                  <c:v>1911.4184553767861</c:v>
                </c:pt>
                <c:pt idx="691">
                  <c:v>1907.2042117244589</c:v>
                </c:pt>
                <c:pt idx="692">
                  <c:v>1902.8993187044739</c:v>
                </c:pt>
                <c:pt idx="693">
                  <c:v>1898.5040838619575</c:v>
                </c:pt>
                <c:pt idx="694">
                  <c:v>1894.0188204478329</c:v>
                </c:pt>
                <c:pt idx="695">
                  <c:v>1889.4438473512732</c:v>
                </c:pt>
                <c:pt idx="696">
                  <c:v>1884.779489030868</c:v>
                </c:pt>
                <c:pt idx="697">
                  <c:v>1880.0260754445619</c:v>
                </c:pt>
                <c:pt idx="698">
                  <c:v>1875.1839419784192</c:v>
                </c:pt>
                <c:pt idx="699">
                  <c:v>1870.2534293742679</c:v>
                </c:pt>
                <c:pt idx="700">
                  <c:v>1865.2348836562724</c:v>
                </c:pt>
                <c:pt idx="701">
                  <c:v>1860.1286560564827</c:v>
                </c:pt>
                <c:pt idx="702">
                  <c:v>1854.9351029394077</c:v>
                </c:pt>
                <c:pt idx="703">
                  <c:v>1849.6545857256558</c:v>
                </c:pt>
                <c:pt idx="704">
                  <c:v>1844.2874708146885</c:v>
                </c:pt>
                <c:pt idx="705">
                  <c:v>1838.834129506728</c:v>
                </c:pt>
                <c:pt idx="706">
                  <c:v>1833.2949379238605</c:v>
                </c:pt>
                <c:pt idx="707">
                  <c:v>1827.6702769303761</c:v>
                </c:pt>
                <c:pt idx="708">
                  <c:v>1821.9605320523856</c:v>
                </c:pt>
                <c:pt idx="709">
                  <c:v>1816.166093396753</c:v>
                </c:pt>
                <c:pt idx="710">
                  <c:v>1810.2873555693811</c:v>
                </c:pt>
                <c:pt idx="711">
                  <c:v>1804.3247175928902</c:v>
                </c:pt>
                <c:pt idx="712">
                  <c:v>1798.2785828237259</c:v>
                </c:pt>
                <c:pt idx="713">
                  <c:v>1792.1493588687329</c:v>
                </c:pt>
                <c:pt idx="714">
                  <c:v>1785.9374575012321</c:v>
                </c:pt>
                <c:pt idx="715">
                  <c:v>1779.643294576636</c:v>
                </c:pt>
                <c:pt idx="716">
                  <c:v>1773.2672899476393</c:v>
                </c:pt>
                <c:pt idx="717">
                  <c:v>1766.8098673790178</c:v>
                </c:pt>
                <c:pt idx="718">
                  <c:v>1760.2714544620728</c:v>
                </c:pt>
                <c:pt idx="719">
                  <c:v>1753.6524825287538</c:v>
                </c:pt>
                <c:pt idx="720">
                  <c:v>1746.9533865654939</c:v>
                </c:pt>
                <c:pt idx="721">
                  <c:v>1740.1746051267924</c:v>
                </c:pt>
                <c:pt idx="722">
                  <c:v>1733.3165802485764</c:v>
                </c:pt>
                <c:pt idx="723">
                  <c:v>1726.3797573613767</c:v>
                </c:pt>
                <c:pt idx="724">
                  <c:v>1719.3645852033469</c:v>
                </c:pt>
                <c:pt idx="725">
                  <c:v>1712.2715157331627</c:v>
                </c:pt>
                <c:pt idx="726">
                  <c:v>1705.1010040428291</c:v>
                </c:pt>
                <c:pt idx="727">
                  <c:v>1697.8535082704298</c:v>
                </c:pt>
                <c:pt idx="728">
                  <c:v>1690.5294895128477</c:v>
                </c:pt>
                <c:pt idx="729">
                  <c:v>1683.1294117384891</c:v>
                </c:pt>
                <c:pt idx="730">
                  <c:v>1675.6537417000413</c:v>
                </c:pt>
                <c:pt idx="731">
                  <c:v>1668.1029488472925</c:v>
                </c:pt>
                <c:pt idx="732">
                  <c:v>1660.4775052400453</c:v>
                </c:pt>
                <c:pt idx="733">
                  <c:v>1652.777885461152</c:v>
                </c:pt>
                <c:pt idx="734">
                  <c:v>1645.0045665297002</c:v>
                </c:pt>
                <c:pt idx="735">
                  <c:v>1637.158027814377</c:v>
                </c:pt>
                <c:pt idx="736">
                  <c:v>1629.2387509470402</c:v>
                </c:pt>
                <c:pt idx="737">
                  <c:v>1621.2472197365234</c:v>
                </c:pt>
                <c:pt idx="738">
                  <c:v>1613.1839200827028</c:v>
                </c:pt>
                <c:pt idx="739">
                  <c:v>1605.0493398908495</c:v>
                </c:pt>
                <c:pt idx="740">
                  <c:v>1596.843968986298</c:v>
                </c:pt>
                <c:pt idx="741">
                  <c:v>1588.5682990294511</c:v>
                </c:pt>
                <c:pt idx="742">
                  <c:v>1580.2228234311503</c:v>
                </c:pt>
                <c:pt idx="743">
                  <c:v>1571.8080372684353</c:v>
                </c:pt>
                <c:pt idx="744">
                  <c:v>1563.3244372007143</c:v>
                </c:pt>
                <c:pt idx="745">
                  <c:v>1554.7725213863728</c:v>
                </c:pt>
                <c:pt idx="746">
                  <c:v>1546.1527893998395</c:v>
                </c:pt>
                <c:pt idx="747">
                  <c:v>1537.4657421491372</c:v>
                </c:pt>
                <c:pt idx="748">
                  <c:v>1528.711881793934</c:v>
                </c:pt>
                <c:pt idx="749">
                  <c:v>1519.8917116641235</c:v>
                </c:pt>
                <c:pt idx="750">
                  <c:v>1511.0057361789491</c:v>
                </c:pt>
                <c:pt idx="751">
                  <c:v>1502.0544607666966</c:v>
                </c:pt>
                <c:pt idx="752">
                  <c:v>1493.038391784974</c:v>
                </c:pt>
                <c:pt idx="753">
                  <c:v>1483.9580364415965</c:v>
                </c:pt>
                <c:pt idx="754">
                  <c:v>1474.8139027160983</c:v>
                </c:pt>
                <c:pt idx="755">
                  <c:v>1465.6064992818874</c:v>
                </c:pt>
                <c:pt idx="756">
                  <c:v>1456.3363354290618</c:v>
                </c:pt>
                <c:pt idx="757">
                  <c:v>1447.0039209879053</c:v>
                </c:pt>
                <c:pt idx="758">
                  <c:v>1437.6097662530779</c:v>
                </c:pt>
                <c:pt idx="759">
                  <c:v>1428.1543819085182</c:v>
                </c:pt>
                <c:pt idx="760">
                  <c:v>1418.6382789530742</c:v>
                </c:pt>
                <c:pt idx="761">
                  <c:v>1409.0619686268749</c:v>
                </c:pt>
                <c:pt idx="762">
                  <c:v>1399.4259623384605</c:v>
                </c:pt>
                <c:pt idx="763">
                  <c:v>1389.7307715926825</c:v>
                </c:pt>
                <c:pt idx="764">
                  <c:v>1379.9769079193893</c:v>
                </c:pt>
                <c:pt idx="765">
                  <c:v>1370.1648828029088</c:v>
                </c:pt>
                <c:pt idx="766">
                  <c:v>1360.2952076123406</c:v>
                </c:pt>
                <c:pt idx="767">
                  <c:v>1350.368393532671</c:v>
                </c:pt>
                <c:pt idx="768">
                  <c:v>1340.3849514967196</c:v>
                </c:pt>
                <c:pt idx="769">
                  <c:v>1330.3453921179314</c:v>
                </c:pt>
                <c:pt idx="770">
                  <c:v>1320.2502256240211</c:v>
                </c:pt>
                <c:pt idx="771">
                  <c:v>1310.0999617914833</c:v>
                </c:pt>
                <c:pt idx="772">
                  <c:v>1299.8951098809741</c:v>
                </c:pt>
                <c:pt idx="773">
                  <c:v>1289.6361785735753</c:v>
                </c:pt>
                <c:pt idx="774">
                  <c:v>1279.3236759079484</c:v>
                </c:pt>
                <c:pt idx="775">
                  <c:v>1268.9581092183862</c:v>
                </c:pt>
                <c:pt idx="776">
                  <c:v>1258.5399850737683</c:v>
                </c:pt>
                <c:pt idx="777">
                  <c:v>1248.0698092174302</c:v>
                </c:pt>
                <c:pt idx="778">
                  <c:v>1237.5480865079473</c:v>
                </c:pt>
                <c:pt idx="779">
                  <c:v>1226.9753208608438</c:v>
                </c:pt>
                <c:pt idx="780">
                  <c:v>1216.3520151912298</c:v>
                </c:pt>
                <c:pt idx="781">
                  <c:v>1205.6786713573715</c:v>
                </c:pt>
                <c:pt idx="782">
                  <c:v>1194.955790105198</c:v>
                </c:pt>
                <c:pt idx="783">
                  <c:v>1184.1838710137506</c:v>
                </c:pt>
                <c:pt idx="784">
                  <c:v>1173.3634124415751</c:v>
                </c:pt>
                <c:pt idx="785">
                  <c:v>1162.4949114740627</c:v>
                </c:pt>
                <c:pt idx="786">
                  <c:v>1151.5788638717404</c:v>
                </c:pt>
                <c:pt idx="787">
                  <c:v>1140.6157640195113</c:v>
                </c:pt>
                <c:pt idx="788">
                  <c:v>1129.6061048768513</c:v>
                </c:pt>
                <c:pt idx="789">
                  <c:v>1118.550377928957</c:v>
                </c:pt>
                <c:pt idx="790">
                  <c:v>1107.4490731388507</c:v>
                </c:pt>
                <c:pt idx="791">
                  <c:v>1096.3026789004398</c:v>
                </c:pt>
                <c:pt idx="792">
                  <c:v>1085.1116819925312</c:v>
                </c:pt>
                <c:pt idx="793">
                  <c:v>1073.8765675338011</c:v>
                </c:pt>
                <c:pt idx="794">
                  <c:v>1062.5978189387179</c:v>
                </c:pt>
                <c:pt idx="795">
                  <c:v>1051.2759178744179</c:v>
                </c:pt>
                <c:pt idx="796">
                  <c:v>1039.9113442185314</c:v>
                </c:pt>
                <c:pt idx="797">
                  <c:v>1028.5045760179585</c:v>
                </c:pt>
                <c:pt idx="798">
                  <c:v>1017.0560894485898</c:v>
                </c:pt>
                <c:pt idx="799">
                  <c:v>1005.5663587759723</c:v>
                </c:pt>
                <c:pt idx="800">
                  <c:v>994.0358563169151</c:v>
                </c:pt>
                <c:pt idx="801">
                  <c:v>982.4650524020326</c:v>
                </c:pt>
                <c:pt idx="802">
                  <c:v>970.85441533922096</c:v>
                </c:pt>
                <c:pt idx="803">
                  <c:v>959.20441137806461</c:v>
                </c:pt>
                <c:pt idx="804">
                  <c:v>947.51550467516734</c:v>
                </c:pt>
                <c:pt idx="805">
                  <c:v>935.78815726040432</c:v>
                </c:pt>
                <c:pt idx="806">
                  <c:v>924.02282900408977</c:v>
                </c:pt>
                <c:pt idx="807">
                  <c:v>912.21997758505472</c:v>
                </c:pt>
                <c:pt idx="808">
                  <c:v>900.38005845963039</c:v>
                </c:pt>
                <c:pt idx="809">
                  <c:v>888.50352483153017</c:v>
                </c:pt>
                <c:pt idx="810">
                  <c:v>876.5908276226254</c:v>
                </c:pt>
                <c:pt idx="811">
                  <c:v>864.64241544460788</c:v>
                </c:pt>
                <c:pt idx="812">
                  <c:v>852.65873457153316</c:v>
                </c:pt>
                <c:pt idx="813">
                  <c:v>840.64022891323782</c:v>
                </c:pt>
                <c:pt idx="814">
                  <c:v>828.58733998962362</c:v>
                </c:pt>
                <c:pt idx="815">
                  <c:v>816.50050690580144</c:v>
                </c:pt>
                <c:pt idx="816">
                  <c:v>804.38016632808819</c:v>
                </c:pt>
                <c:pt idx="817">
                  <c:v>792.22675246084827</c:v>
                </c:pt>
                <c:pt idx="818">
                  <c:v>780.04069702417269</c:v>
                </c:pt>
                <c:pt idx="819">
                  <c:v>767.82242923238732</c:v>
                </c:pt>
                <c:pt idx="820">
                  <c:v>755.57237577338321</c:v>
                </c:pt>
                <c:pt idx="821">
                  <c:v>743.29096078875898</c:v>
                </c:pt>
                <c:pt idx="822">
                  <c:v>730.97860585476906</c:v>
                </c:pt>
                <c:pt idx="823">
                  <c:v>718.63572996406731</c:v>
                </c:pt>
                <c:pt idx="824">
                  <c:v>706.26274950823881</c:v>
                </c:pt>
                <c:pt idx="825">
                  <c:v>693.86007826111029</c:v>
                </c:pt>
                <c:pt idx="826">
                  <c:v>681.42812736283008</c:v>
                </c:pt>
                <c:pt idx="827">
                  <c:v>668.96730530470893</c:v>
                </c:pt>
                <c:pt idx="828">
                  <c:v>656.47801791481299</c:v>
                </c:pt>
                <c:pt idx="829">
                  <c:v>643.96066834429826</c:v>
                </c:pt>
                <c:pt idx="830">
                  <c:v>631.41565705447874</c:v>
                </c:pt>
                <c:pt idx="831">
                  <c:v>618.84338180461771</c:v>
                </c:pt>
                <c:pt idx="832">
                  <c:v>606.2442376404332</c:v>
                </c:pt>
                <c:pt idx="833">
                  <c:v>593.61861688330771</c:v>
                </c:pt>
                <c:pt idx="834">
                  <c:v>580.96690912019255</c:v>
                </c:pt>
                <c:pt idx="835">
                  <c:v>568.28950119419733</c:v>
                </c:pt>
                <c:pt idx="836">
                  <c:v>555.58677719585432</c:v>
                </c:pt>
                <c:pt idx="837">
                  <c:v>542.85911845504813</c:v>
                </c:pt>
                <c:pt idx="838">
                  <c:v>530.10690353360076</c:v>
                </c:pt>
                <c:pt idx="839">
                  <c:v>517.33050821850213</c:v>
                </c:pt>
                <c:pt idx="840">
                  <c:v>504.53030551577569</c:v>
                </c:pt>
                <c:pt idx="841">
                  <c:v>491.7066656449698</c:v>
                </c:pt>
                <c:pt idx="842">
                  <c:v>478.85995603426403</c:v>
                </c:pt>
                <c:pt idx="843">
                  <c:v>465.99054131618112</c:v>
                </c:pt>
                <c:pt idx="844">
                  <c:v>453.09878332389405</c:v>
                </c:pt>
                <c:pt idx="845">
                  <c:v>440.18504108811806</c:v>
                </c:pt>
                <c:pt idx="846">
                  <c:v>427.24967083457796</c:v>
                </c:pt>
                <c:pt idx="847">
                  <c:v>414.29302598204026</c:v>
                </c:pt>
                <c:pt idx="848">
                  <c:v>401.31545714090038</c:v>
                </c:pt>
                <c:pt idx="849">
                  <c:v>388.31731211231454</c:v>
                </c:pt>
                <c:pt idx="850">
                  <c:v>375.29893588786655</c:v>
                </c:pt>
                <c:pt idx="851">
                  <c:v>362.26067064975933</c:v>
                </c:pt>
                <c:pt idx="852">
                  <c:v>349.20285577152134</c:v>
                </c:pt>
                <c:pt idx="853">
                  <c:v>336.12582781921776</c:v>
                </c:pt>
                <c:pt idx="854">
                  <c:v>323.02992055315639</c:v>
                </c:pt>
                <c:pt idx="855">
                  <c:v>309.91546493007883</c:v>
                </c:pt>
                <c:pt idx="856">
                  <c:v>296.78278910582662</c:v>
                </c:pt>
                <c:pt idx="857">
                  <c:v>283.63221843847282</c:v>
                </c:pt>
                <c:pt idx="858">
                  <c:v>270.46407549190883</c:v>
                </c:pt>
                <c:pt idx="859">
                  <c:v>257.27868003987737</c:v>
                </c:pt>
                <c:pt idx="860">
                  <c:v>244.07634907044164</c:v>
                </c:pt>
                <c:pt idx="861">
                  <c:v>230.85739679088064</c:v>
                </c:pt>
                <c:pt idx="862">
                  <c:v>217.62213463300199</c:v>
                </c:pt>
                <c:pt idx="863">
                  <c:v>204.370871258862</c:v>
                </c:pt>
                <c:pt idx="864">
                  <c:v>191.10391256688396</c:v>
                </c:pt>
                <c:pt idx="865">
                  <c:v>177.82156169836514</c:v>
                </c:pt>
                <c:pt idx="866">
                  <c:v>164.52411904436343</c:v>
                </c:pt>
                <c:pt idx="867">
                  <c:v>151.21188225295407</c:v>
                </c:pt>
                <c:pt idx="868">
                  <c:v>137.8851462368477</c:v>
                </c:pt>
                <c:pt idx="869">
                  <c:v>124.54420318136053</c:v>
                </c:pt>
                <c:pt idx="870">
                  <c:v>111.18934255272758</c:v>
                </c:pt>
                <c:pt idx="871">
                  <c:v>97.820851106750254</c:v>
                </c:pt>
                <c:pt idx="872">
                  <c:v>84.439012897769345</c:v>
                </c:pt>
                <c:pt idx="873">
                  <c:v>71.044109287954825</c:v>
                </c:pt>
                <c:pt idx="874">
                  <c:v>57.636418956903725</c:v>
                </c:pt>
                <c:pt idx="875">
                  <c:v>44.216217911537612</c:v>
                </c:pt>
                <c:pt idx="876">
                  <c:v>30.78377949629121</c:v>
                </c:pt>
                <c:pt idx="877">
                  <c:v>17.339374403583818</c:v>
                </c:pt>
                <c:pt idx="878">
                  <c:v>3.8832706845652005</c:v>
                </c:pt>
                <c:pt idx="879">
                  <c:v>-9.5842662398721146</c:v>
                </c:pt>
                <c:pt idx="880">
                  <c:v>-9.5977394328919523</c:v>
                </c:pt>
                <c:pt idx="881">
                  <c:v>-9.6112126369513167</c:v>
                </c:pt>
                <c:pt idx="882">
                  <c:v>-9.6246858520499483</c:v>
                </c:pt>
                <c:pt idx="883">
                  <c:v>-9.6381590781875897</c:v>
                </c:pt>
                <c:pt idx="884">
                  <c:v>-9.6516323153639831</c:v>
                </c:pt>
                <c:pt idx="885">
                  <c:v>-9.6651055635788676</c:v>
                </c:pt>
                <c:pt idx="886">
                  <c:v>-9.6785788228319873</c:v>
                </c:pt>
                <c:pt idx="887">
                  <c:v>-9.6920520931230829</c:v>
                </c:pt>
                <c:pt idx="888">
                  <c:v>-9.705525374451895</c:v>
                </c:pt>
                <c:pt idx="889">
                  <c:v>-9.718998666818166</c:v>
                </c:pt>
                <c:pt idx="890">
                  <c:v>-9.7324719702216367</c:v>
                </c:pt>
                <c:pt idx="891">
                  <c:v>-9.7459452846620493</c:v>
                </c:pt>
                <c:pt idx="892">
                  <c:v>-9.7594186101391447</c:v>
                </c:pt>
                <c:pt idx="893">
                  <c:v>-9.7728919466526651</c:v>
                </c:pt>
                <c:pt idx="894">
                  <c:v>-9.7863652942023514</c:v>
                </c:pt>
                <c:pt idx="895">
                  <c:v>-9.7998386527879457</c:v>
                </c:pt>
                <c:pt idx="896">
                  <c:v>-9.813312022409189</c:v>
                </c:pt>
                <c:pt idx="897">
                  <c:v>-9.8267854030658235</c:v>
                </c:pt>
                <c:pt idx="898">
                  <c:v>-9.8402587947575899</c:v>
                </c:pt>
                <c:pt idx="899">
                  <c:v>-9.8537321974842307</c:v>
                </c:pt>
                <c:pt idx="900">
                  <c:v>-9.8672056112454865</c:v>
                </c:pt>
                <c:pt idx="901">
                  <c:v>-9.8806790360410979</c:v>
                </c:pt>
                <c:pt idx="902">
                  <c:v>-9.8941524718708092</c:v>
                </c:pt>
                <c:pt idx="903">
                  <c:v>-9.9076259187343592</c:v>
                </c:pt>
                <c:pt idx="904">
                  <c:v>-9.9210993766314903</c:v>
                </c:pt>
                <c:pt idx="905">
                  <c:v>-9.9345728455619451</c:v>
                </c:pt>
                <c:pt idx="906">
                  <c:v>-9.9480463255254641</c:v>
                </c:pt>
                <c:pt idx="907">
                  <c:v>-9.9615198165217897</c:v>
                </c:pt>
                <c:pt idx="908">
                  <c:v>-9.9749933185506627</c:v>
                </c:pt>
                <c:pt idx="909">
                  <c:v>-9.9884668316118255</c:v>
                </c:pt>
                <c:pt idx="910">
                  <c:v>-10.001940355705019</c:v>
                </c:pt>
                <c:pt idx="911">
                  <c:v>-10.015413890829985</c:v>
                </c:pt>
                <c:pt idx="912">
                  <c:v>-10.028887436986464</c:v>
                </c:pt>
                <c:pt idx="913">
                  <c:v>-10.042360994174199</c:v>
                </c:pt>
                <c:pt idx="914">
                  <c:v>-10.055834562392931</c:v>
                </c:pt>
                <c:pt idx="915">
                  <c:v>-10.069308141642402</c:v>
                </c:pt>
                <c:pt idx="916">
                  <c:v>-10.082781731922353</c:v>
                </c:pt>
                <c:pt idx="917">
                  <c:v>-10.096255333232525</c:v>
                </c:pt>
                <c:pt idx="918">
                  <c:v>-10.109728945572662</c:v>
                </c:pt>
                <c:pt idx="919">
                  <c:v>-10.123202568942503</c:v>
                </c:pt>
                <c:pt idx="920">
                  <c:v>-10.136676203341791</c:v>
                </c:pt>
                <c:pt idx="921">
                  <c:v>-10.150149848770267</c:v>
                </c:pt>
                <c:pt idx="922">
                  <c:v>-10.163623505227672</c:v>
                </c:pt>
                <c:pt idx="923">
                  <c:v>-10.177097172713749</c:v>
                </c:pt>
                <c:pt idx="924">
                  <c:v>-10.190570851228239</c:v>
                </c:pt>
                <c:pt idx="925">
                  <c:v>-10.204044540770884</c:v>
                </c:pt>
                <c:pt idx="926">
                  <c:v>-10.217518241341425</c:v>
                </c:pt>
                <c:pt idx="927">
                  <c:v>-10.230991952939604</c:v>
                </c:pt>
                <c:pt idx="928">
                  <c:v>-10.244465675565161</c:v>
                </c:pt>
                <c:pt idx="929">
                  <c:v>-10.25793940921784</c:v>
                </c:pt>
                <c:pt idx="930">
                  <c:v>-10.271413153897381</c:v>
                </c:pt>
                <c:pt idx="931">
                  <c:v>-10.284886909603527</c:v>
                </c:pt>
                <c:pt idx="932">
                  <c:v>-10.298360676336017</c:v>
                </c:pt>
                <c:pt idx="933">
                  <c:v>-10.311834454094596</c:v>
                </c:pt>
                <c:pt idx="934">
                  <c:v>-10.325308242879004</c:v>
                </c:pt>
                <c:pt idx="935">
                  <c:v>-10.338782042688981</c:v>
                </c:pt>
                <c:pt idx="936">
                  <c:v>-10.352255853524271</c:v>
                </c:pt>
                <c:pt idx="937">
                  <c:v>-10.365729675384616</c:v>
                </c:pt>
                <c:pt idx="938">
                  <c:v>-10.379203508269756</c:v>
                </c:pt>
                <c:pt idx="939">
                  <c:v>-10.392677352179433</c:v>
                </c:pt>
                <c:pt idx="940">
                  <c:v>-10.406151207113389</c:v>
                </c:pt>
                <c:pt idx="941">
                  <c:v>-10.419625073071366</c:v>
                </c:pt>
                <c:pt idx="942">
                  <c:v>-10.433098950053104</c:v>
                </c:pt>
                <c:pt idx="943">
                  <c:v>-10.446572838058346</c:v>
                </c:pt>
                <c:pt idx="944">
                  <c:v>-10.460046737086833</c:v>
                </c:pt>
                <c:pt idx="945">
                  <c:v>-10.473520647138306</c:v>
                </c:pt>
                <c:pt idx="946">
                  <c:v>-10.486994568212509</c:v>
                </c:pt>
                <c:pt idx="947">
                  <c:v>-10.500468500309182</c:v>
                </c:pt>
                <c:pt idx="948">
                  <c:v>-10.513942443428068</c:v>
                </c:pt>
                <c:pt idx="949">
                  <c:v>-10.527416397568906</c:v>
                </c:pt>
                <c:pt idx="950">
                  <c:v>-10.540890362731441</c:v>
                </c:pt>
                <c:pt idx="951">
                  <c:v>-10.554364338915411</c:v>
                </c:pt>
                <c:pt idx="952">
                  <c:v>-10.56783832612056</c:v>
                </c:pt>
                <c:pt idx="953">
                  <c:v>-10.58131232434663</c:v>
                </c:pt>
                <c:pt idx="954">
                  <c:v>-10.594786333593362</c:v>
                </c:pt>
                <c:pt idx="955">
                  <c:v>-10.608260353860498</c:v>
                </c:pt>
                <c:pt idx="956">
                  <c:v>-10.621734385147779</c:v>
                </c:pt>
                <c:pt idx="957">
                  <c:v>-10.635208427454947</c:v>
                </c:pt>
                <c:pt idx="958">
                  <c:v>-10.648682480781744</c:v>
                </c:pt>
                <c:pt idx="959">
                  <c:v>-10.662156545127912</c:v>
                </c:pt>
                <c:pt idx="960">
                  <c:v>-10.675630620493191</c:v>
                </c:pt>
                <c:pt idx="961">
                  <c:v>-10.689104706877323</c:v>
                </c:pt>
                <c:pt idx="962">
                  <c:v>-10.702578804280051</c:v>
                </c:pt>
                <c:pt idx="963">
                  <c:v>-10.716052912701118</c:v>
                </c:pt>
                <c:pt idx="964">
                  <c:v>-10.729527032140263</c:v>
                </c:pt>
                <c:pt idx="965">
                  <c:v>-10.743001162597228</c:v>
                </c:pt>
                <c:pt idx="966">
                  <c:v>-10.756475304071754</c:v>
                </c:pt>
                <c:pt idx="967">
                  <c:v>-10.769949456563586</c:v>
                </c:pt>
                <c:pt idx="968">
                  <c:v>-10.783423620072462</c:v>
                </c:pt>
                <c:pt idx="969">
                  <c:v>-10.796897794598125</c:v>
                </c:pt>
                <c:pt idx="970">
                  <c:v>-10.810371980140319</c:v>
                </c:pt>
                <c:pt idx="971">
                  <c:v>-10.823846176698783</c:v>
                </c:pt>
                <c:pt idx="972">
                  <c:v>-10.83732038427326</c:v>
                </c:pt>
                <c:pt idx="973">
                  <c:v>-10.850794602863491</c:v>
                </c:pt>
                <c:pt idx="974">
                  <c:v>-10.864268832469218</c:v>
                </c:pt>
                <c:pt idx="975">
                  <c:v>-10.877743073090183</c:v>
                </c:pt>
                <c:pt idx="976">
                  <c:v>-10.891217324726128</c:v>
                </c:pt>
                <c:pt idx="977">
                  <c:v>-10.904691587376794</c:v>
                </c:pt>
                <c:pt idx="978">
                  <c:v>-10.918165861041922</c:v>
                </c:pt>
                <c:pt idx="979">
                  <c:v>-10.931640145721255</c:v>
                </c:pt>
                <c:pt idx="980">
                  <c:v>-10.945114441414535</c:v>
                </c:pt>
                <c:pt idx="981">
                  <c:v>-10.958588748121503</c:v>
                </c:pt>
                <c:pt idx="982">
                  <c:v>-10.972063065841901</c:v>
                </c:pt>
                <c:pt idx="983">
                  <c:v>-10.98553739457547</c:v>
                </c:pt>
                <c:pt idx="984">
                  <c:v>-10.999011734321952</c:v>
                </c:pt>
                <c:pt idx="985">
                  <c:v>-11.01248608508109</c:v>
                </c:pt>
                <c:pt idx="986">
                  <c:v>-11.025960446852624</c:v>
                </c:pt>
                <c:pt idx="987">
                  <c:v>-11.039434819636297</c:v>
                </c:pt>
                <c:pt idx="988">
                  <c:v>-11.052909203431849</c:v>
                </c:pt>
                <c:pt idx="989">
                  <c:v>-11.066383598239025</c:v>
                </c:pt>
                <c:pt idx="990">
                  <c:v>-11.079858004057563</c:v>
                </c:pt>
                <c:pt idx="991">
                  <c:v>-11.093332420887208</c:v>
                </c:pt>
                <c:pt idx="992">
                  <c:v>-11.1068068487277</c:v>
                </c:pt>
                <c:pt idx="993">
                  <c:v>-11.120281287578782</c:v>
                </c:pt>
                <c:pt idx="994">
                  <c:v>-11.133755737440195</c:v>
                </c:pt>
                <c:pt idx="995">
                  <c:v>-11.14723019831168</c:v>
                </c:pt>
                <c:pt idx="996">
                  <c:v>-11.160704670192981</c:v>
                </c:pt>
                <c:pt idx="997">
                  <c:v>-11.174179153083838</c:v>
                </c:pt>
                <c:pt idx="998">
                  <c:v>-11.187653646983993</c:v>
                </c:pt>
                <c:pt idx="999">
                  <c:v>-11.201128151893187</c:v>
                </c:pt>
                <c:pt idx="1000">
                  <c:v>-11.214602667811162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3B-6442-AFEC-07E56791BA28}"/>
            </c:ext>
          </c:extLst>
        </c:ser>
        <c:ser>
          <c:idx val="2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3.2199094759923535E-5</c:v>
                </c:pt>
                <c:pt idx="2">
                  <c:v>2.1130532509346415E-4</c:v>
                </c:pt>
                <c:pt idx="3">
                  <c:v>6.540739961863524E-4</c:v>
                </c:pt>
                <c:pt idx="4">
                  <c:v>1.4290213695358658E-3</c:v>
                </c:pt>
                <c:pt idx="5">
                  <c:v>2.6047145707411034E-3</c:v>
                </c:pt>
                <c:pt idx="6">
                  <c:v>4.2497790892093677E-3</c:v>
                </c:pt>
                <c:pt idx="7">
                  <c:v>6.4329061678809136E-3</c:v>
                </c:pt>
                <c:pt idx="8">
                  <c:v>9.2228600852004659E-3</c:v>
                </c:pt>
                <c:pt idx="9">
                  <c:v>1.2688485331438107E-2</c:v>
                </c:pt>
                <c:pt idx="10">
                  <c:v>1.689871368133937E-2</c:v>
                </c:pt>
                <c:pt idx="11">
                  <c:v>2.1902866108771839E-2</c:v>
                </c:pt>
                <c:pt idx="12">
                  <c:v>2.7710911850952643E-2</c:v>
                </c:pt>
                <c:pt idx="13">
                  <c:v>3.4312964282020145E-2</c:v>
                </c:pt>
                <c:pt idx="14">
                  <c:v>4.1698816020665795E-2</c:v>
                </c:pt>
                <c:pt idx="15">
                  <c:v>4.985808892105982E-2</c:v>
                </c:pt>
                <c:pt idx="16">
                  <c:v>5.8780384365414995E-2</c:v>
                </c:pt>
                <c:pt idx="17">
                  <c:v>6.8455283655367585E-2</c:v>
                </c:pt>
                <c:pt idx="18">
                  <c:v>7.8872348402383066E-2</c:v>
                </c:pt>
                <c:pt idx="19">
                  <c:v>9.0021120917124192E-2</c:v>
                </c:pt>
                <c:pt idx="20">
                  <c:v>0.10189112459771937</c:v>
                </c:pt>
                <c:pt idx="21">
                  <c:v>0.11447186431686993</c:v>
                </c:pt>
                <c:pt idx="22">
                  <c:v>0.12775282680773567</c:v>
                </c:pt>
                <c:pt idx="23">
                  <c:v>0.14172348104853855</c:v>
                </c:pt>
                <c:pt idx="24">
                  <c:v>0.15637327864582479</c:v>
                </c:pt>
                <c:pt idx="25">
                  <c:v>0.17169165421632704</c:v>
                </c:pt>
                <c:pt idx="26">
                  <c:v>0.18766802576736791</c:v>
                </c:pt>
                <c:pt idx="27">
                  <c:v>0.20429444169256411</c:v>
                </c:pt>
                <c:pt idx="28">
                  <c:v>0.22156823173329301</c:v>
                </c:pt>
                <c:pt idx="29">
                  <c:v>0.23948936634624024</c:v>
                </c:pt>
                <c:pt idx="30">
                  <c:v>0.25805781191362032</c:v>
                </c:pt>
                <c:pt idx="31">
                  <c:v>0.27727353073976652</c:v>
                </c:pt>
                <c:pt idx="32">
                  <c:v>0.29713648104783591</c:v>
                </c:pt>
                <c:pt idx="33">
                  <c:v>0.31764661697663005</c:v>
                </c:pt>
                <c:pt idx="34">
                  <c:v>0.33880388857753163</c:v>
                </c:pt>
                <c:pt idx="35">
                  <c:v>0.36060824181155726</c:v>
                </c:pt>
                <c:pt idx="36">
                  <c:v>0.38310222374120001</c:v>
                </c:pt>
                <c:pt idx="37">
                  <c:v>0.40632972650622212</c:v>
                </c:pt>
                <c:pt idx="38">
                  <c:v>0.43029336870816365</c:v>
                </c:pt>
                <c:pt idx="39">
                  <c:v>0.45499571994781773</c:v>
                </c:pt>
                <c:pt idx="40">
                  <c:v>0.48043928427685384</c:v>
                </c:pt>
                <c:pt idx="41">
                  <c:v>0.50662650311857726</c:v>
                </c:pt>
                <c:pt idx="42">
                  <c:v>0.53355975797635569</c:v>
                </c:pt>
                <c:pt idx="43">
                  <c:v>0.56124137294995491</c:v>
                </c:pt>
                <c:pt idx="44">
                  <c:v>0.58967361707765753</c:v>
                </c:pt>
                <c:pt idx="45">
                  <c:v>0.61885870651999697</c:v>
                </c:pt>
                <c:pt idx="46">
                  <c:v>0.64879880659917333</c:v>
                </c:pt>
                <c:pt idx="47">
                  <c:v>0.67949603370668321</c:v>
                </c:pt>
                <c:pt idx="48">
                  <c:v>0.71095245709035693</c:v>
                </c:pt>
                <c:pt idx="49">
                  <c:v>0.74317010053083021</c:v>
                </c:pt>
                <c:pt idx="50">
                  <c:v>0.77615094391644979</c:v>
                </c:pt>
                <c:pt idx="51">
                  <c:v>0.80989692472471453</c:v>
                </c:pt>
                <c:pt idx="52">
                  <c:v>0.84440993941755504</c:v>
                </c:pt>
                <c:pt idx="53">
                  <c:v>0.8796918447570562</c:v>
                </c:pt>
                <c:pt idx="54">
                  <c:v>0.91574445904760093</c:v>
                </c:pt>
                <c:pt idx="55">
                  <c:v>0.95256956330986331</c:v>
                </c:pt>
                <c:pt idx="56">
                  <c:v>0.99016890239158339</c:v>
                </c:pt>
                <c:pt idx="57">
                  <c:v>1.0285441860196192</c:v>
                </c:pt>
                <c:pt idx="58">
                  <c:v>1.0676970897973757</c:v>
                </c:pt>
                <c:pt idx="59">
                  <c:v>1.1076292561513594</c:v>
                </c:pt>
                <c:pt idx="60">
                  <c:v>1.1483422952302891</c:v>
                </c:pt>
                <c:pt idx="61">
                  <c:v>1.1898377857599103</c:v>
                </c:pt>
                <c:pt idx="62">
                  <c:v>1.2321172758564016</c:v>
                </c:pt>
                <c:pt idx="63">
                  <c:v>1.2751822838010314</c:v>
                </c:pt>
                <c:pt idx="64">
                  <c:v>1.3190342987785095</c:v>
                </c:pt>
                <c:pt idx="65">
                  <c:v>1.3636747815812957</c:v>
                </c:pt>
                <c:pt idx="66">
                  <c:v>1.4091051652819433</c:v>
                </c:pt>
                <c:pt idx="67">
                  <c:v>1.4553268558754098</c:v>
                </c:pt>
                <c:pt idx="68">
                  <c:v>1.5023412328931154</c:v>
                </c:pt>
                <c:pt idx="69">
                  <c:v>1.5501496499904051</c:v>
                </c:pt>
                <c:pt idx="70">
                  <c:v>1.5987534355089477</c:v>
                </c:pt>
                <c:pt idx="71">
                  <c:v>1.6481538930154982</c:v>
                </c:pt>
                <c:pt idx="72">
                  <c:v>1.6983522686137009</c:v>
                </c:pt>
                <c:pt idx="73">
                  <c:v>1.749349718010007</c:v>
                </c:pt>
                <c:pt idx="74">
                  <c:v>1.8011473399003297</c:v>
                </c:pt>
                <c:pt idx="75">
                  <c:v>1.8537462095696</c:v>
                </c:pt>
                <c:pt idx="76">
                  <c:v>1.9071473793441465</c:v>
                </c:pt>
                <c:pt idx="77">
                  <c:v>1.9613518790266637</c:v>
                </c:pt>
                <c:pt idx="78">
                  <c:v>2.0163607163146819</c:v>
                </c:pt>
                <c:pt idx="79">
                  <c:v>2.0721748772033806</c:v>
                </c:pt>
                <c:pt idx="80">
                  <c:v>2.1287953263735471</c:v>
                </c:pt>
                <c:pt idx="81">
                  <c:v>2.1862230075654243</c:v>
                </c:pt>
                <c:pt idx="82">
                  <c:v>2.2444588439391437</c:v>
                </c:pt>
                <c:pt idx="83">
                  <c:v>2.303503738422406</c:v>
                </c:pt>
                <c:pt idx="84">
                  <c:v>2.3633585740460252</c:v>
                </c:pt>
                <c:pt idx="85">
                  <c:v>2.4240242142679178</c:v>
                </c:pt>
                <c:pt idx="86">
                  <c:v>2.4855015032860819</c:v>
                </c:pt>
                <c:pt idx="87">
                  <c:v>2.5477912663410853</c:v>
                </c:pt>
                <c:pt idx="88">
                  <c:v>2.6108943100085478</c:v>
                </c:pt>
                <c:pt idx="89">
                  <c:v>2.6748114224820716</c:v>
                </c:pt>
                <c:pt idx="90">
                  <c:v>2.7395433738470607</c:v>
                </c:pt>
                <c:pt idx="91">
                  <c:v>2.8050909163458293</c:v>
                </c:pt>
                <c:pt idx="92">
                  <c:v>2.8714547846343943</c:v>
                </c:pt>
                <c:pt idx="93">
                  <c:v>2.9386356960313096</c:v>
                </c:pt>
                <c:pt idx="94">
                  <c:v>3.0066343507588944</c:v>
                </c:pt>
                <c:pt idx="95">
                  <c:v>3.0754514321771786</c:v>
                </c:pt>
                <c:pt idx="96">
                  <c:v>3.14508760701088</c:v>
                </c:pt>
                <c:pt idx="97">
                  <c:v>3.215543525569704</c:v>
                </c:pt>
                <c:pt idx="98">
                  <c:v>3.2868198219622475</c:v>
                </c:pt>
                <c:pt idx="99">
                  <c:v>3.3589171143037708</c:v>
                </c:pt>
                <c:pt idx="100">
                  <c:v>3.4318360049180918</c:v>
                </c:pt>
                <c:pt idx="101">
                  <c:v>3.5055770805338367</c:v>
                </c:pt>
                <c:pt idx="102">
                  <c:v>3.5801409124752803</c:v>
                </c:pt>
                <c:pt idx="103">
                  <c:v>3.6555280568479906</c:v>
                </c:pt>
                <c:pt idx="104">
                  <c:v>3.7317390547194806</c:v>
                </c:pt>
                <c:pt idx="105">
                  <c:v>3.8087744322950674</c:v>
                </c:pt>
                <c:pt idx="106">
                  <c:v>3.8866347010891227</c:v>
                </c:pt>
                <c:pt idx="107">
                  <c:v>3.9653203580918963</c:v>
                </c:pt>
                <c:pt idx="108">
                  <c:v>4.0448318859320764</c:v>
                </c:pt>
                <c:pt idx="109">
                  <c:v>4.1251697530352551</c:v>
                </c:pt>
                <c:pt idx="110">
                  <c:v>4.2063344137784489</c:v>
                </c:pt>
                <c:pt idx="111">
                  <c:v>4.2883263086408228</c:v>
                </c:pt>
                <c:pt idx="112">
                  <c:v>4.3711458643507646</c:v>
                </c:pt>
                <c:pt idx="113">
                  <c:v>4.4547934940294311</c:v>
                </c:pt>
                <c:pt idx="114">
                  <c:v>4.5392695973309101</c:v>
                </c:pt>
                <c:pt idx="115">
                  <c:v>4.6245745605791093</c:v>
                </c:pt>
                <c:pt idx="116">
                  <c:v>4.7107087569014965</c:v>
                </c:pt>
                <c:pt idx="117">
                  <c:v>4.7976725463598031</c:v>
                </c:pt>
                <c:pt idx="118">
                  <c:v>4.8854662760777954</c:v>
                </c:pt>
                <c:pt idx="119">
                  <c:v>4.9740902803662204</c:v>
                </c:pt>
                <c:pt idx="120">
                  <c:v>5.063544880845023</c:v>
                </c:pt>
                <c:pt idx="121">
                  <c:v>5.153830386562932</c:v>
                </c:pt>
                <c:pt idx="122">
                  <c:v>5.2449470941145035</c:v>
                </c:pt>
                <c:pt idx="123">
                  <c:v>5.3368952877547082</c:v>
                </c:pt>
                <c:pt idx="124">
                  <c:v>5.4296752395111501</c:v>
                </c:pt>
                <c:pt idx="125">
                  <c:v>5.5232872092939935</c:v>
                </c:pt>
                <c:pt idx="126">
                  <c:v>5.6177314450036775</c:v>
                </c:pt>
                <c:pt idx="127">
                  <c:v>5.7130081826364894</c:v>
                </c:pt>
                <c:pt idx="128">
                  <c:v>5.8091176463880707</c:v>
                </c:pt>
                <c:pt idx="129">
                  <c:v>5.9060598832365283</c:v>
                </c:pt>
                <c:pt idx="130">
                  <c:v>6.0038345968666045</c:v>
                </c:pt>
                <c:pt idx="131">
                  <c:v>6.1024413124659427</c:v>
                </c:pt>
                <c:pt idx="132">
                  <c:v>6.2018795421920805</c:v>
                </c:pt>
                <c:pt idx="133">
                  <c:v>6.3021487852974074</c:v>
                </c:pt>
                <c:pt idx="134">
                  <c:v>6.403248528251984</c:v>
                </c:pt>
                <c:pt idx="135">
                  <c:v>6.5051782448642763</c:v>
                </c:pt>
                <c:pt idx="136">
                  <c:v>6.6079373963998904</c:v>
                </c:pt>
                <c:pt idx="137">
                  <c:v>6.7115254316983535</c:v>
                </c:pt>
                <c:pt idx="138">
                  <c:v>6.8159417872880175</c:v>
                </c:pt>
                <c:pt idx="139">
                  <c:v>6.9211858874991341</c:v>
                </c:pt>
                <c:pt idx="140">
                  <c:v>7.0272571445751657</c:v>
                </c:pt>
                <c:pt idx="141">
                  <c:v>7.134154958782382</c:v>
                </c:pt>
                <c:pt idx="142">
                  <c:v>7.2418787185177989</c:v>
                </c:pt>
                <c:pt idx="143">
                  <c:v>7.3504278004155035</c:v>
                </c:pt>
                <c:pt idx="144">
                  <c:v>7.459801569451427</c:v>
                </c:pt>
                <c:pt idx="145">
                  <c:v>7.569999379046596</c:v>
                </c:pt>
                <c:pt idx="146">
                  <c:v>7.6810205711689212</c:v>
                </c:pt>
                <c:pt idx="147">
                  <c:v>7.7928644764335608</c:v>
                </c:pt>
                <c:pt idx="148">
                  <c:v>7.9055304142018992</c:v>
                </c:pt>
                <c:pt idx="149">
                  <c:v>8.0190176926791885</c:v>
                </c:pt>
                <c:pt idx="150">
                  <c:v>8.1333256090108836</c:v>
                </c:pt>
                <c:pt idx="151">
                  <c:v>8.2484534493777115</c:v>
                </c:pt>
                <c:pt idx="152">
                  <c:v>8.3644004890895154</c:v>
                </c:pt>
                <c:pt idx="153">
                  <c:v>8.4811659926779051</c:v>
                </c:pt>
                <c:pt idx="154">
                  <c:v>8.5987492139877393</c:v>
                </c:pt>
                <c:pt idx="155">
                  <c:v>8.7171493962674909</c:v>
                </c:pt>
                <c:pt idx="156">
                  <c:v>8.8363657722585103</c:v>
                </c:pt>
                <c:pt idx="157">
                  <c:v>8.9563975642832219</c:v>
                </c:pt>
                <c:pt idx="158">
                  <c:v>9.0772439843322896</c:v>
                </c:pt>
                <c:pt idx="159">
                  <c:v>9.198904234150767</c:v>
                </c:pt>
                <c:pt idx="160">
                  <c:v>9.3213775053232695</c:v>
                </c:pt>
                <c:pt idx="161">
                  <c:v>9.4446629793581955</c:v>
                </c:pt>
                <c:pt idx="162">
                  <c:v>9.5687598277710109</c:v>
                </c:pt>
                <c:pt idx="163">
                  <c:v>9.6936672121666305</c:v>
                </c:pt>
                <c:pt idx="164">
                  <c:v>9.8193842843209289</c:v>
                </c:pt>
                <c:pt idx="165">
                  <c:v>9.9459101862613739</c:v>
                </c:pt>
                <c:pt idx="166">
                  <c:v>10.073244050346839</c:v>
                </c:pt>
                <c:pt idx="167">
                  <c:v>10.201384999346599</c:v>
                </c:pt>
                <c:pt idx="168">
                  <c:v>10.330332146518527</c:v>
                </c:pt>
                <c:pt idx="169">
                  <c:v>10.460084595686521</c:v>
                </c:pt>
                <c:pt idx="170">
                  <c:v>10.590641441317171</c:v>
                </c:pt>
                <c:pt idx="171">
                  <c:v>10.7220017685957</c:v>
                </c:pt>
                <c:pt idx="172">
                  <c:v>10.854164653501178</c:v>
                </c:pt>
                <c:pt idx="173">
                  <c:v>10.987129162881038</c:v>
                </c:pt>
                <c:pt idx="174">
                  <c:v>11.120894354524916</c:v>
                </c:pt>
                <c:pt idx="175">
                  <c:v>11.25545927723781</c:v>
                </c:pt>
                <c:pt idx="176">
                  <c:v>11.3908229709126</c:v>
                </c:pt>
                <c:pt idx="177">
                  <c:v>11.526984466601927</c:v>
                </c:pt>
                <c:pt idx="178">
                  <c:v>11.663942786589455</c:v>
                </c:pt>
                <c:pt idx="179">
                  <c:v>11.801696944460517</c:v>
                </c:pt>
                <c:pt idx="180">
                  <c:v>11.940245945172178</c:v>
                </c:pt>
                <c:pt idx="181">
                  <c:v>12.079588785122718</c:v>
                </c:pt>
                <c:pt idx="182">
                  <c:v>12.219724452220541</c:v>
                </c:pt>
                <c:pt idx="183">
                  <c:v>12.36065192595254</c:v>
                </c:pt>
                <c:pt idx="184">
                  <c:v>12.502370177451914</c:v>
                </c:pt>
                <c:pt idx="185">
                  <c:v>12.644878169565454</c:v>
                </c:pt>
                <c:pt idx="186">
                  <c:v>12.788174856920316</c:v>
                </c:pt>
                <c:pt idx="187">
                  <c:v>12.93225918599029</c:v>
                </c:pt>
                <c:pt idx="188">
                  <c:v>13.077130095161559</c:v>
                </c:pt>
                <c:pt idx="189">
                  <c:v>13.222786514797985</c:v>
                </c:pt>
                <c:pt idx="190">
                  <c:v>13.369227367305912</c:v>
                </c:pt>
                <c:pt idx="191">
                  <c:v>13.516451567198505</c:v>
                </c:pt>
                <c:pt idx="192">
                  <c:v>13.664458021159634</c:v>
                </c:pt>
                <c:pt idx="193">
                  <c:v>13.813245628107303</c:v>
                </c:pt>
                <c:pt idx="194">
                  <c:v>13.962813279256652</c:v>
                </c:pt>
                <c:pt idx="195">
                  <c:v>14.113159858182517</c:v>
                </c:pt>
                <c:pt idx="196">
                  <c:v>14.264284240881572</c:v>
                </c:pt>
                <c:pt idx="197">
                  <c:v>14.416185295834062</c:v>
                </c:pt>
                <c:pt idx="198">
                  <c:v>14.56886188406512</c:v>
                </c:pt>
                <c:pt idx="199">
                  <c:v>14.722312859205697</c:v>
                </c:pt>
                <c:pt idx="200">
                  <c:v>14.876537067553089</c:v>
                </c:pt>
                <c:pt idx="201">
                  <c:v>15.031533348131088</c:v>
                </c:pt>
                <c:pt idx="202">
                  <c:v>15.187300532749752</c:v>
                </c:pt>
                <c:pt idx="203">
                  <c:v>15.343837446064803</c:v>
                </c:pt>
                <c:pt idx="204">
                  <c:v>15.501142905636666</c:v>
                </c:pt>
                <c:pt idx="205">
                  <c:v>15.65921572198914</c:v>
                </c:pt>
                <c:pt idx="206">
                  <c:v>15.818054655645556</c:v>
                </c:pt>
                <c:pt idx="207">
                  <c:v>15.977658374066227</c:v>
                </c:pt>
                <c:pt idx="208">
                  <c:v>16.138025494625222</c:v>
                </c:pt>
                <c:pt idx="209">
                  <c:v>16.299154627687663</c:v>
                </c:pt>
                <c:pt idx="210">
                  <c:v>16.461044376671744</c:v>
                </c:pt>
                <c:pt idx="211">
                  <c:v>16.623693338110375</c:v>
                </c:pt>
                <c:pt idx="212">
                  <c:v>16.787100101712486</c:v>
                </c:pt>
                <c:pt idx="213">
                  <c:v>16.951263250423949</c:v>
                </c:pt>
                <c:pt idx="214">
                  <c:v>17.116181360488163</c:v>
                </c:pt>
                <c:pt idx="215">
                  <c:v>17.281853001506306</c:v>
                </c:pt>
                <c:pt idx="216">
                  <c:v>17.448276736497217</c:v>
                </c:pt>
                <c:pt idx="217">
                  <c:v>17.615451121956976</c:v>
                </c:pt>
                <c:pt idx="218">
                  <c:v>17.783374707918124</c:v>
                </c:pt>
                <c:pt idx="219">
                  <c:v>17.952046038008582</c:v>
                </c:pt>
                <c:pt idx="220">
                  <c:v>18.121463649510218</c:v>
                </c:pt>
                <c:pt idx="221">
                  <c:v>18.291626073417124</c:v>
                </c:pt>
                <c:pt idx="222">
                  <c:v>18.462531834493564</c:v>
                </c:pt>
                <c:pt idx="223">
                  <c:v>18.634179451331612</c:v>
                </c:pt>
                <c:pt idx="224">
                  <c:v>18.806567436408478</c:v>
                </c:pt>
                <c:pt idx="225">
                  <c:v>18.979694296143549</c:v>
                </c:pt>
                <c:pt idx="226">
                  <c:v>19.153558530955102</c:v>
                </c:pt>
                <c:pt idx="227">
                  <c:v>19.328158635316754</c:v>
                </c:pt>
                <c:pt idx="228">
                  <c:v>19.503493097813578</c:v>
                </c:pt>
                <c:pt idx="229">
                  <c:v>19.679560401197971</c:v>
                </c:pt>
                <c:pt idx="230">
                  <c:v>19.856359022445201</c:v>
                </c:pt>
                <c:pt idx="231">
                  <c:v>20.033887432808687</c:v>
                </c:pt>
                <c:pt idx="232">
                  <c:v>20.21214409787499</c:v>
                </c:pt>
                <c:pt idx="233">
                  <c:v>20.391127477618536</c:v>
                </c:pt>
                <c:pt idx="234">
                  <c:v>20.570836026456043</c:v>
                </c:pt>
                <c:pt idx="235">
                  <c:v>20.751268193300692</c:v>
                </c:pt>
                <c:pt idx="236">
                  <c:v>20.932422421616028</c:v>
                </c:pt>
                <c:pt idx="237">
                  <c:v>21.114297149469571</c:v>
                </c:pt>
                <c:pt idx="238">
                  <c:v>21.296890809586188</c:v>
                </c:pt>
                <c:pt idx="239">
                  <c:v>21.480201829401171</c:v>
                </c:pt>
                <c:pt idx="240">
                  <c:v>21.66422863111309</c:v>
                </c:pt>
                <c:pt idx="241">
                  <c:v>21.848969631736345</c:v>
                </c:pt>
                <c:pt idx="242">
                  <c:v>22.034423090932787</c:v>
                </c:pt>
                <c:pt idx="243">
                  <c:v>22.220586958575034</c:v>
                </c:pt>
                <c:pt idx="244">
                  <c:v>22.407459026782615</c:v>
                </c:pt>
                <c:pt idx="245">
                  <c:v>22.595037082233752</c:v>
                </c:pt>
                <c:pt idx="246">
                  <c:v>22.783318906232378</c:v>
                </c:pt>
                <c:pt idx="247">
                  <c:v>22.972302274774769</c:v>
                </c:pt>
                <c:pt idx="248">
                  <c:v>23.161984958615783</c:v>
                </c:pt>
                <c:pt idx="249">
                  <c:v>23.352364723334734</c:v>
                </c:pt>
                <c:pt idx="250">
                  <c:v>23.543439329400886</c:v>
                </c:pt>
                <c:pt idx="251">
                  <c:v>23.735206532238561</c:v>
                </c:pt>
                <c:pt idx="252">
                  <c:v>23.927664082291887</c:v>
                </c:pt>
                <c:pt idx="253">
                  <c:v>24.120809725089181</c:v>
                </c:pt>
                <c:pt idx="254">
                  <c:v>24.314641201306944</c:v>
                </c:pt>
                <c:pt idx="255">
                  <c:v>24.509156246833506</c:v>
                </c:pt>
                <c:pt idx="256">
                  <c:v>24.704352592832294</c:v>
                </c:pt>
                <c:pt idx="257">
                  <c:v>24.900227965804753</c:v>
                </c:pt>
                <c:pt idx="258">
                  <c:v>25.096780087652888</c:v>
                </c:pt>
                <c:pt idx="259">
                  <c:v>25.294006675741461</c:v>
                </c:pt>
                <c:pt idx="260">
                  <c:v>25.491905442959812</c:v>
                </c:pt>
                <c:pt idx="261">
                  <c:v>25.690474097783348</c:v>
                </c:pt>
                <c:pt idx="262">
                  <c:v>25.889710344334645</c:v>
                </c:pt>
                <c:pt idx="263">
                  <c:v>26.089611882444238</c:v>
                </c:pt>
                <c:pt idx="264">
                  <c:v>26.290176407711016</c:v>
                </c:pt>
                <c:pt idx="265">
                  <c:v>26.491401611562289</c:v>
                </c:pt>
                <c:pt idx="266">
                  <c:v>26.693285181313506</c:v>
                </c:pt>
                <c:pt idx="267">
                  <c:v>26.895824800227622</c:v>
                </c:pt>
                <c:pt idx="268">
                  <c:v>27.099018147574103</c:v>
                </c:pt>
                <c:pt idx="269">
                  <c:v>27.302862898687618</c:v>
                </c:pt>
                <c:pt idx="270">
                  <c:v>27.507356725026344</c:v>
                </c:pt>
                <c:pt idx="271">
                  <c:v>27.712497294229969</c:v>
                </c:pt>
                <c:pt idx="272">
                  <c:v>27.918282270177322</c:v>
                </c:pt>
                <c:pt idx="273">
                  <c:v>28.124709313043674</c:v>
                </c:pt>
                <c:pt idx="274">
                  <c:v>28.331776079357695</c:v>
                </c:pt>
                <c:pt idx="275">
                  <c:v>28.539480222058081</c:v>
                </c:pt>
                <c:pt idx="276">
                  <c:v>28.747819390549829</c:v>
                </c:pt>
                <c:pt idx="277">
                  <c:v>28.956791230760185</c:v>
                </c:pt>
                <c:pt idx="278">
                  <c:v>29.166393385194244</c:v>
                </c:pt>
                <c:pt idx="279">
                  <c:v>29.376623492990223</c:v>
                </c:pt>
                <c:pt idx="280">
                  <c:v>29.58747918997441</c:v>
                </c:pt>
                <c:pt idx="281">
                  <c:v>29.798958108715745</c:v>
                </c:pt>
                <c:pt idx="282">
                  <c:v>30.011057878580107</c:v>
                </c:pt>
                <c:pt idx="283">
                  <c:v>30.223776125784244</c:v>
                </c:pt>
                <c:pt idx="284">
                  <c:v>30.437110656492905</c:v>
                </c:pt>
                <c:pt idx="285">
                  <c:v>30.651059640140154</c:v>
                </c:pt>
                <c:pt idx="286">
                  <c:v>30.865621426564722</c:v>
                </c:pt>
                <c:pt idx="287">
                  <c:v>31.080794362912908</c:v>
                </c:pt>
                <c:pt idx="288">
                  <c:v>31.296576793675779</c:v>
                </c:pt>
                <c:pt idx="289">
                  <c:v>31.512967060726204</c:v>
                </c:pt>
                <c:pt idx="290">
                  <c:v>31.729963503355673</c:v>
                </c:pt>
                <c:pt idx="291">
                  <c:v>31.947564458310953</c:v>
                </c:pt>
                <c:pt idx="292">
                  <c:v>32.165768259830543</c:v>
                </c:pt>
                <c:pt idx="293">
                  <c:v>32.384573239680954</c:v>
                </c:pt>
                <c:pt idx="294">
                  <c:v>32.603977727192792</c:v>
                </c:pt>
                <c:pt idx="295">
                  <c:v>32.823980049296672</c:v>
                </c:pt>
                <c:pt idx="296">
                  <c:v>33.04457853055893</c:v>
                </c:pt>
                <c:pt idx="297">
                  <c:v>33.265771493217152</c:v>
                </c:pt>
                <c:pt idx="298">
                  <c:v>33.487557257215542</c:v>
                </c:pt>
                <c:pt idx="299">
                  <c:v>33.709934140240073</c:v>
                </c:pt>
                <c:pt idx="300">
                  <c:v>33.932900457753469</c:v>
                </c:pt>
                <c:pt idx="301">
                  <c:v>34.156454523030014</c:v>
                </c:pt>
                <c:pt idx="302">
                  <c:v>34.380594647190151</c:v>
                </c:pt>
                <c:pt idx="303">
                  <c:v>34.605319139234943</c:v>
                </c:pt>
                <c:pt idx="304">
                  <c:v>34.830626306080283</c:v>
                </c:pt>
                <c:pt idx="305">
                  <c:v>35.056514452590996</c:v>
                </c:pt>
                <c:pt idx="306">
                  <c:v>35.282981881614703</c:v>
                </c:pt>
                <c:pt idx="307">
                  <c:v>35.510026894015525</c:v>
                </c:pt>
                <c:pt idx="308">
                  <c:v>35.737647788707605</c:v>
                </c:pt>
                <c:pt idx="309">
                  <c:v>35.965842862688447</c:v>
                </c:pt>
                <c:pt idx="310">
                  <c:v>36.194610411072077</c:v>
                </c:pt>
                <c:pt idx="311">
                  <c:v>36.423948727122003</c:v>
                </c:pt>
                <c:pt idx="312">
                  <c:v>36.653856102284031</c:v>
                </c:pt>
                <c:pt idx="313">
                  <c:v>36.884330826218857</c:v>
                </c:pt>
                <c:pt idx="314">
                  <c:v>37.115371186834508</c:v>
                </c:pt>
                <c:pt idx="315">
                  <c:v>37.346975470318597</c:v>
                </c:pt>
                <c:pt idx="316">
                  <c:v>37.579141961170393</c:v>
                </c:pt>
                <c:pt idx="317">
                  <c:v>37.811868942232707</c:v>
                </c:pt>
                <c:pt idx="318">
                  <c:v>38.045154694723614</c:v>
                </c:pt>
                <c:pt idx="319">
                  <c:v>38.278997498267969</c:v>
                </c:pt>
                <c:pt idx="320">
                  <c:v>38.513395630928777</c:v>
                </c:pt>
                <c:pt idx="321">
                  <c:v>38.748347369238353</c:v>
                </c:pt>
                <c:pt idx="322">
                  <c:v>38.983850988229321</c:v>
                </c:pt>
                <c:pt idx="323">
                  <c:v>39.219904761465429</c:v>
                </c:pt>
                <c:pt idx="324">
                  <c:v>39.456506961072193</c:v>
                </c:pt>
                <c:pt idx="325">
                  <c:v>39.69365585776734</c:v>
                </c:pt>
                <c:pt idx="326">
                  <c:v>39.931349732380681</c:v>
                </c:pt>
                <c:pt idx="327">
                  <c:v>40.169586887383474</c:v>
                </c:pt>
                <c:pt idx="328">
                  <c:v>40.40836563542927</c:v>
                </c:pt>
                <c:pt idx="329">
                  <c:v>40.647684287884623</c:v>
                </c:pt>
                <c:pt idx="330">
                  <c:v>40.887541154857914</c:v>
                </c:pt>
                <c:pt idx="331">
                  <c:v>41.127934545228015</c:v>
                </c:pt>
                <c:pt idx="332">
                  <c:v>41.368862766672763</c:v>
                </c:pt>
                <c:pt idx="333">
                  <c:v>41.610324125697289</c:v>
                </c:pt>
                <c:pt idx="334">
                  <c:v>41.852316927662166</c:v>
                </c:pt>
                <c:pt idx="335">
                  <c:v>42.094839476811387</c:v>
                </c:pt>
                <c:pt idx="336">
                  <c:v>42.337890076300177</c:v>
                </c:pt>
                <c:pt idx="337">
                  <c:v>42.581467028222626</c:v>
                </c:pt>
                <c:pt idx="338">
                  <c:v>42.825568633639179</c:v>
                </c:pt>
                <c:pt idx="339">
                  <c:v>43.070193192603924</c:v>
                </c:pt>
                <c:pt idx="340">
                  <c:v>43.315339004191742</c:v>
                </c:pt>
                <c:pt idx="341">
                  <c:v>43.56100436652526</c:v>
                </c:pt>
                <c:pt idx="342">
                  <c:v>43.807187576801674</c:v>
                </c:pt>
                <c:pt idx="343">
                  <c:v>44.053886931319362</c:v>
                </c:pt>
                <c:pt idx="344">
                  <c:v>44.301100725504348</c:v>
                </c:pt>
                <c:pt idx="345">
                  <c:v>44.548827253936622</c:v>
                </c:pt>
                <c:pt idx="346">
                  <c:v>44.797064810376256</c:v>
                </c:pt>
                <c:pt idx="347">
                  <c:v>45.04581168778936</c:v>
                </c:pt>
                <c:pt idx="348">
                  <c:v>45.295066178373908</c:v>
                </c:pt>
                <c:pt idx="349">
                  <c:v>45.54482657358534</c:v>
                </c:pt>
                <c:pt idx="350">
                  <c:v>45.795091164162045</c:v>
                </c:pt>
                <c:pt idx="351">
                  <c:v>46.045858240150658</c:v>
                </c:pt>
                <c:pt idx="352">
                  <c:v>46.297126090931194</c:v>
                </c:pt>
                <c:pt idx="353">
                  <c:v>46.548893005242014</c:v>
                </c:pt>
                <c:pt idx="354">
                  <c:v>46.801157271204637</c:v>
                </c:pt>
                <c:pt idx="355">
                  <c:v>47.053917176348371</c:v>
                </c:pt>
                <c:pt idx="356">
                  <c:v>47.307171007634793</c:v>
                </c:pt>
                <c:pt idx="357">
                  <c:v>47.560917051482058</c:v>
                </c:pt>
                <c:pt idx="358">
                  <c:v>47.815153593789042</c:v>
                </c:pt>
                <c:pt idx="359">
                  <c:v>48.069878919959322</c:v>
                </c:pt>
                <c:pt idx="360">
                  <c:v>48.325091314925011</c:v>
                </c:pt>
                <c:pt idx="361">
                  <c:v>48.580789063170393</c:v>
                </c:pt>
                <c:pt idx="362">
                  <c:v>48.836970448755437</c:v>
                </c:pt>
                <c:pt idx="363">
                  <c:v>49.093633755339098</c:v>
                </c:pt>
                <c:pt idx="364">
                  <c:v>49.350777266202513</c:v>
                </c:pt>
                <c:pt idx="365">
                  <c:v>49.608399264271988</c:v>
                </c:pt>
                <c:pt idx="366">
                  <c:v>49.866498328991575</c:v>
                </c:pt>
                <c:pt idx="367">
                  <c:v>50.125073633353921</c:v>
                </c:pt>
                <c:pt idx="368">
                  <c:v>50.384124646937003</c:v>
                </c:pt>
                <c:pt idx="369">
                  <c:v>50.64365083877528</c:v>
                </c:pt>
                <c:pt idx="370">
                  <c:v>50.903651677368067</c:v>
                </c:pt>
                <c:pt idx="371">
                  <c:v>51.164126630687903</c:v>
                </c:pt>
                <c:pt idx="372">
                  <c:v>51.425075166188833</c:v>
                </c:pt>
                <c:pt idx="373">
                  <c:v>51.686496750814733</c:v>
                </c:pt>
                <c:pt idx="374">
                  <c:v>51.948390851007531</c:v>
                </c:pt>
                <c:pt idx="375">
                  <c:v>52.210756932715441</c:v>
                </c:pt>
                <c:pt idx="376">
                  <c:v>52.47359446140117</c:v>
                </c:pt>
                <c:pt idx="377">
                  <c:v>52.736902902050055</c:v>
                </c:pt>
                <c:pt idx="378">
                  <c:v>53.00068171917821</c:v>
                </c:pt>
                <c:pt idx="379">
                  <c:v>53.264930376840624</c:v>
                </c:pt>
                <c:pt idx="380">
                  <c:v>53.52964833863922</c:v>
                </c:pt>
                <c:pt idx="381">
                  <c:v>53.794834745145288</c:v>
                </c:pt>
                <c:pt idx="382">
                  <c:v>54.060488091173838</c:v>
                </c:pt>
                <c:pt idx="383">
                  <c:v>54.32660654856722</c:v>
                </c:pt>
                <c:pt idx="384">
                  <c:v>54.593188289133984</c:v>
                </c:pt>
                <c:pt idx="385">
                  <c:v>54.860231484671274</c:v>
                </c:pt>
                <c:pt idx="386">
                  <c:v>55.127734306987044</c:v>
                </c:pt>
                <c:pt idx="387">
                  <c:v>55.395694927922108</c:v>
                </c:pt>
                <c:pt idx="388">
                  <c:v>55.664111519372</c:v>
                </c:pt>
                <c:pt idx="389">
                  <c:v>55.932982253308694</c:v>
                </c:pt>
                <c:pt idx="390">
                  <c:v>56.202305301802106</c:v>
                </c:pt>
                <c:pt idx="391">
                  <c:v>56.472078837041451</c:v>
                </c:pt>
                <c:pt idx="392">
                  <c:v>56.74230103135644</c:v>
                </c:pt>
                <c:pt idx="393">
                  <c:v>57.01297005723827</c:v>
                </c:pt>
                <c:pt idx="394">
                  <c:v>57.284084087360469</c:v>
                </c:pt>
                <c:pt idx="395">
                  <c:v>57.555641294599567</c:v>
                </c:pt>
                <c:pt idx="396">
                  <c:v>57.82763985205559</c:v>
                </c:pt>
                <c:pt idx="397">
                  <c:v>58.100077933072384</c:v>
                </c:pt>
                <c:pt idx="398">
                  <c:v>58.372953711257786</c:v>
                </c:pt>
                <c:pt idx="399">
                  <c:v>58.646265360503591</c:v>
                </c:pt>
                <c:pt idx="400">
                  <c:v>58.920011055005389</c:v>
                </c:pt>
                <c:pt idx="401">
                  <c:v>59.194188713833249</c:v>
                </c:pt>
                <c:pt idx="402">
                  <c:v>59.468795745420344</c:v>
                </c:pt>
                <c:pt idx="403">
                  <c:v>59.743829303241128</c:v>
                </c:pt>
                <c:pt idx="404">
                  <c:v>60.019286541577678</c:v>
                </c:pt>
                <c:pt idx="405">
                  <c:v>60.295164615551393</c:v>
                </c:pt>
                <c:pt idx="406">
                  <c:v>60.571460681154363</c:v>
                </c:pt>
                <c:pt idx="407">
                  <c:v>60.848171895280402</c:v>
                </c:pt>
                <c:pt idx="408">
                  <c:v>61.12529541575573</c:v>
                </c:pt>
                <c:pt idx="409">
                  <c:v>61.402828401369305</c:v>
                </c:pt>
                <c:pt idx="410">
                  <c:v>61.680768011902835</c:v>
                </c:pt>
                <c:pt idx="411">
                  <c:v>61.959109992163754</c:v>
                </c:pt>
                <c:pt idx="412">
                  <c:v>62.237847255692735</c:v>
                </c:pt>
                <c:pt idx="413">
                  <c:v>62.516971302174923</c:v>
                </c:pt>
                <c:pt idx="414">
                  <c:v>62.796473635230917</c:v>
                </c:pt>
                <c:pt idx="415">
                  <c:v>63.076345762553871</c:v>
                </c:pt>
                <c:pt idx="416">
                  <c:v>63.356579196044102</c:v>
                </c:pt>
                <c:pt idx="417">
                  <c:v>63.637165451941286</c:v>
                </c:pt>
                <c:pt idx="418">
                  <c:v>63.918096050954205</c:v>
                </c:pt>
                <c:pt idx="419">
                  <c:v>64.199362518388028</c:v>
                </c:pt>
                <c:pt idx="420">
                  <c:v>64.480955576486551</c:v>
                </c:pt>
                <c:pt idx="421">
                  <c:v>64.762864336718394</c:v>
                </c:pt>
                <c:pt idx="422">
                  <c:v>65.045077108683728</c:v>
                </c:pt>
                <c:pt idx="423">
                  <c:v>65.327582209116201</c:v>
                </c:pt>
                <c:pt idx="424">
                  <c:v>65.610367962085633</c:v>
                </c:pt>
                <c:pt idx="425">
                  <c:v>65.893422699196179</c:v>
                </c:pt>
                <c:pt idx="426">
                  <c:v>66.176734759780132</c:v>
                </c:pt>
                <c:pt idx="427">
                  <c:v>66.460292491087301</c:v>
                </c:pt>
                <c:pt idx="428">
                  <c:v>66.74408424846996</c:v>
                </c:pt>
                <c:pt idx="429">
                  <c:v>67.028098395563489</c:v>
                </c:pt>
                <c:pt idx="430">
                  <c:v>67.312323304462552</c:v>
                </c:pt>
                <c:pt idx="431">
                  <c:v>67.596747355893044</c:v>
                </c:pt>
                <c:pt idx="432">
                  <c:v>67.881357632652509</c:v>
                </c:pt>
                <c:pt idx="433">
                  <c:v>68.16613861329644</c:v>
                </c:pt>
                <c:pt idx="434">
                  <c:v>68.451073481170056</c:v>
                </c:pt>
                <c:pt idx="435">
                  <c:v>68.73614543327146</c:v>
                </c:pt>
                <c:pt idx="436">
                  <c:v>69.021337680570781</c:v>
                </c:pt>
                <c:pt idx="437">
                  <c:v>69.306633448320468</c:v>
                </c:pt>
                <c:pt idx="438">
                  <c:v>69.59201597635672</c:v>
                </c:pt>
                <c:pt idx="439">
                  <c:v>69.877468519392039</c:v>
                </c:pt>
                <c:pt idx="440">
                  <c:v>70.162974347298999</c:v>
                </c:pt>
                <c:pt idx="441">
                  <c:v>70.448516745385206</c:v>
                </c:pt>
                <c:pt idx="442">
                  <c:v>70.734079810999447</c:v>
                </c:pt>
                <c:pt idx="443">
                  <c:v>71.019649249761841</c:v>
                </c:pt>
                <c:pt idx="444">
                  <c:v>71.305211577847288</c:v>
                </c:pt>
                <c:pt idx="445">
                  <c:v>71.590753324580234</c:v>
                </c:pt>
                <c:pt idx="446">
                  <c:v>71.87626103257297</c:v>
                </c:pt>
                <c:pt idx="447">
                  <c:v>72.161721257858332</c:v>
                </c:pt>
                <c:pt idx="448">
                  <c:v>72.447120570016949</c:v>
                </c:pt>
                <c:pt idx="449">
                  <c:v>72.732445552298856</c:v>
                </c:pt>
                <c:pt idx="450">
                  <c:v>73.017682801739639</c:v>
                </c:pt>
                <c:pt idx="451">
                  <c:v>73.302818929271126</c:v>
                </c:pt>
                <c:pt idx="452">
                  <c:v>73.587840559826589</c:v>
                </c:pt>
                <c:pt idx="453">
                  <c:v>73.872735477379067</c:v>
                </c:pt>
                <c:pt idx="454">
                  <c:v>74.157493769216515</c:v>
                </c:pt>
                <c:pt idx="455">
                  <c:v>74.442106678442912</c:v>
                </c:pt>
                <c:pt idx="456">
                  <c:v>74.726565457195008</c:v>
                </c:pt>
                <c:pt idx="457">
                  <c:v>75.010861366648726</c:v>
                </c:pt>
                <c:pt idx="458">
                  <c:v>75.294985677023377</c:v>
                </c:pt>
                <c:pt idx="459">
                  <c:v>75.578929667583679</c:v>
                </c:pt>
                <c:pt idx="460">
                  <c:v>75.862684626639592</c:v>
                </c:pt>
                <c:pt idx="461">
                  <c:v>76.146242885119548</c:v>
                </c:pt>
                <c:pt idx="462">
                  <c:v>76.42959884938432</c:v>
                </c:pt>
                <c:pt idx="463">
                  <c:v>76.712747965170976</c:v>
                </c:pt>
                <c:pt idx="464">
                  <c:v>76.995685682284062</c:v>
                </c:pt>
                <c:pt idx="465">
                  <c:v>77.278407454569745</c:v>
                </c:pt>
                <c:pt idx="466">
                  <c:v>77.560907869841543</c:v>
                </c:pt>
                <c:pt idx="467">
                  <c:v>77.843179780457845</c:v>
                </c:pt>
                <c:pt idx="468">
                  <c:v>78.125205478323338</c:v>
                </c:pt>
                <c:pt idx="469">
                  <c:v>78.40695974904483</c:v>
                </c:pt>
                <c:pt idx="470">
                  <c:v>78.688431455380936</c:v>
                </c:pt>
                <c:pt idx="471">
                  <c:v>78.969621349065264</c:v>
                </c:pt>
                <c:pt idx="472">
                  <c:v>79.250530178980242</c:v>
                </c:pt>
                <c:pt idx="473">
                  <c:v>79.531158691171882</c:v>
                </c:pt>
                <c:pt idx="474">
                  <c:v>79.811507628864376</c:v>
                </c:pt>
                <c:pt idx="475">
                  <c:v>80.091577732474704</c:v>
                </c:pt>
                <c:pt idx="476">
                  <c:v>80.371369739627028</c:v>
                </c:pt>
                <c:pt idx="477">
                  <c:v>80.650884385167075</c:v>
                </c:pt>
                <c:pt idx="478">
                  <c:v>80.930122401176419</c:v>
                </c:pt>
                <c:pt idx="479">
                  <c:v>81.209084516986636</c:v>
                </c:pt>
                <c:pt idx="480">
                  <c:v>81.487771459193382</c:v>
                </c:pt>
                <c:pt idx="481">
                  <c:v>81.766183951670399</c:v>
                </c:pt>
                <c:pt idx="482">
                  <c:v>82.044322715583405</c:v>
                </c:pt>
                <c:pt idx="483">
                  <c:v>82.322188469403926</c:v>
                </c:pt>
                <c:pt idx="484">
                  <c:v>82.599781928923022</c:v>
                </c:pt>
                <c:pt idx="485">
                  <c:v>82.877103807264874</c:v>
                </c:pt>
                <c:pt idx="486">
                  <c:v>83.154154814900423</c:v>
                </c:pt>
                <c:pt idx="487">
                  <c:v>83.430935659660747</c:v>
                </c:pt>
                <c:pt idx="488">
                  <c:v>83.707447046750517</c:v>
                </c:pt>
                <c:pt idx="489">
                  <c:v>83.983689678761223</c:v>
                </c:pt>
                <c:pt idx="490">
                  <c:v>84.259664255684413</c:v>
                </c:pt>
                <c:pt idx="491">
                  <c:v>84.535371474924844</c:v>
                </c:pt>
                <c:pt idx="492">
                  <c:v>84.810812031313489</c:v>
                </c:pt>
                <c:pt idx="493">
                  <c:v>85.085986617120511</c:v>
                </c:pt>
                <c:pt idx="494">
                  <c:v>85.360895922068124</c:v>
                </c:pt>
                <c:pt idx="495">
                  <c:v>85.635540633343425</c:v>
                </c:pt>
                <c:pt idx="496">
                  <c:v>85.909921435611096</c:v>
                </c:pt>
                <c:pt idx="497">
                  <c:v>86.184039011026016</c:v>
                </c:pt>
                <c:pt idx="498">
                  <c:v>86.457894039245843</c:v>
                </c:pt>
                <c:pt idx="499">
                  <c:v>86.731487197443514</c:v>
                </c:pt>
                <c:pt idx="500">
                  <c:v>87.004819160319585</c:v>
                </c:pt>
                <c:pt idx="501">
                  <c:v>89.723825117429314</c:v>
                </c:pt>
                <c:pt idx="502">
                  <c:v>92.417144252593999</c:v>
                </c:pt>
                <c:pt idx="503">
                  <c:v>95.085428563625968</c:v>
                </c:pt>
                <c:pt idx="504">
                  <c:v>97.72930687694911</c:v>
                </c:pt>
                <c:pt idx="505">
                  <c:v>100.34938596284547</c:v>
                </c:pt>
                <c:pt idx="506">
                  <c:v>102.94625158406986</c:v>
                </c:pt>
                <c:pt idx="507">
                  <c:v>105.52046948258349</c:v>
                </c:pt>
                <c:pt idx="508">
                  <c:v>108.07258630876571</c:v>
                </c:pt>
                <c:pt idx="509">
                  <c:v>110.60313049710687</c:v>
                </c:pt>
                <c:pt idx="510">
                  <c:v>113.11261309206334</c:v>
                </c:pt>
                <c:pt idx="511">
                  <c:v>115.60152852746165</c:v>
                </c:pt>
                <c:pt idx="512">
                  <c:v>118.07035536257307</c:v>
                </c:pt>
                <c:pt idx="513">
                  <c:v>120.51955697773597</c:v>
                </c:pt>
                <c:pt idx="514">
                  <c:v>122.94958223218272</c:v>
                </c:pt>
                <c:pt idx="515">
                  <c:v>125.36086608652509</c:v>
                </c:pt>
                <c:pt idx="516">
                  <c:v>127.75383019216797</c:v>
                </c:pt>
                <c:pt idx="517">
                  <c:v>130.12888344975184</c:v>
                </c:pt>
                <c:pt idx="518">
                  <c:v>132.48642253857008</c:v>
                </c:pt>
                <c:pt idx="519">
                  <c:v>134.82683241876538</c:v>
                </c:pt>
                <c:pt idx="520">
                  <c:v>137.15048680797921</c:v>
                </c:pt>
                <c:pt idx="521">
                  <c:v>139.45774863400962</c:v>
                </c:pt>
                <c:pt idx="522">
                  <c:v>141.74897046492197</c:v>
                </c:pt>
                <c:pt idx="523">
                  <c:v>144.02449491795701</c:v>
                </c:pt>
                <c:pt idx="524">
                  <c:v>146.28465504848745</c:v>
                </c:pt>
                <c:pt idx="525">
                  <c:v>148.52977472018856</c:v>
                </c:pt>
                <c:pt idx="526">
                  <c:v>150.76016895750928</c:v>
                </c:pt>
                <c:pt idx="527">
                  <c:v>152.97614428145769</c:v>
                </c:pt>
                <c:pt idx="528">
                  <c:v>155.17799902964697</c:v>
                </c:pt>
                <c:pt idx="529">
                  <c:v>157.36602366148577</c:v>
                </c:pt>
                <c:pt idx="530">
                  <c:v>159.54050104933967</c:v>
                </c:pt>
                <c:pt idx="531">
                  <c:v>161.70170675643649</c:v>
                </c:pt>
                <c:pt idx="532">
                  <c:v>163.84990930223904</c:v>
                </c:pt>
                <c:pt idx="533">
                  <c:v>165.9853704159633</c:v>
                </c:pt>
                <c:pt idx="534">
                  <c:v>168.10834527887678</c:v>
                </c:pt>
                <c:pt idx="535">
                  <c:v>170.21908275597295</c:v>
                </c:pt>
                <c:pt idx="536">
                  <c:v>172.31782561758064</c:v>
                </c:pt>
                <c:pt idx="537">
                  <c:v>174.40481075143305</c:v>
                </c:pt>
                <c:pt idx="538">
                  <c:v>176.48026936568925</c:v>
                </c:pt>
                <c:pt idx="539">
                  <c:v>178.54442718337174</c:v>
                </c:pt>
                <c:pt idx="540">
                  <c:v>180.59750462865546</c:v>
                </c:pt>
                <c:pt idx="541">
                  <c:v>182.63971700541865</c:v>
                </c:pt>
                <c:pt idx="542">
                  <c:v>184.67127466844124</c:v>
                </c:pt>
                <c:pt idx="543">
                  <c:v>186.6923831876145</c:v>
                </c:pt>
                <c:pt idx="544">
                  <c:v>188.70324350550462</c:v>
                </c:pt>
                <c:pt idx="545">
                  <c:v>190.70405208859322</c:v>
                </c:pt>
                <c:pt idx="546">
                  <c:v>192.69500107249959</c:v>
                </c:pt>
                <c:pt idx="547">
                  <c:v>194.67627840147227</c:v>
                </c:pt>
                <c:pt idx="548">
                  <c:v>196.64806796242161</c:v>
                </c:pt>
                <c:pt idx="549">
                  <c:v>198.61054971374966</c:v>
                </c:pt>
                <c:pt idx="550">
                  <c:v>200.56389980922017</c:v>
                </c:pt>
                <c:pt idx="551">
                  <c:v>202.50829071709751</c:v>
                </c:pt>
                <c:pt idx="552">
                  <c:v>204.44389133477151</c:v>
                </c:pt>
                <c:pt idx="553">
                  <c:v>206.37086709907348</c:v>
                </c:pt>
                <c:pt idx="554">
                  <c:v>208.28938009247727</c:v>
                </c:pt>
                <c:pt idx="555">
                  <c:v>210.1995891453694</c:v>
                </c:pt>
                <c:pt idx="556">
                  <c:v>212.10164993456252</c:v>
                </c:pt>
                <c:pt idx="557">
                  <c:v>213.99571507821693</c:v>
                </c:pt>
                <c:pt idx="558">
                  <c:v>215.88193422732706</c:v>
                </c:pt>
                <c:pt idx="559">
                  <c:v>217.76045415392073</c:v>
                </c:pt>
                <c:pt idx="560">
                  <c:v>219.63141883611215</c:v>
                </c:pt>
                <c:pt idx="561">
                  <c:v>221.49496954014219</c:v>
                </c:pt>
                <c:pt idx="562">
                  <c:v>223.35124489953233</c:v>
                </c:pt>
                <c:pt idx="563">
                  <c:v>225.20038099147266</c:v>
                </c:pt>
                <c:pt idx="564">
                  <c:v>227.04251141055803</c:v>
                </c:pt>
                <c:pt idx="565">
                  <c:v>228.87776733998064</c:v>
                </c:pt>
                <c:pt idx="566">
                  <c:v>230.70627762028187</c:v>
                </c:pt>
                <c:pt idx="567">
                  <c:v>232.5281688157614</c:v>
                </c:pt>
                <c:pt idx="568">
                  <c:v>234.34356527863588</c:v>
                </c:pt>
                <c:pt idx="569">
                  <c:v>236.15258921103575</c:v>
                </c:pt>
                <c:pt idx="570">
                  <c:v>237.95536072492354</c:v>
                </c:pt>
                <c:pt idx="571">
                  <c:v>239.75199790001332</c:v>
                </c:pt>
                <c:pt idx="572">
                  <c:v>241.54261683976662</c:v>
                </c:pt>
                <c:pt idx="573">
                  <c:v>243.32733172553634</c:v>
                </c:pt>
                <c:pt idx="574">
                  <c:v>245.1062548689267</c:v>
                </c:pt>
                <c:pt idx="575">
                  <c:v>246.87949676243343</c:v>
                </c:pt>
                <c:pt idx="576">
                  <c:v>248.64716612842534</c:v>
                </c:pt>
                <c:pt idx="577">
                  <c:v>250.40936996652493</c:v>
                </c:pt>
                <c:pt idx="578">
                  <c:v>252.16621359944267</c:v>
                </c:pt>
                <c:pt idx="579">
                  <c:v>253.9178007173166</c:v>
                </c:pt>
                <c:pt idx="580">
                  <c:v>255.66423342060591</c:v>
                </c:pt>
                <c:pt idx="581">
                  <c:v>257.40561226158428</c:v>
                </c:pt>
                <c:pt idx="582">
                  <c:v>259.14203628447626</c:v>
                </c:pt>
                <c:pt idx="583">
                  <c:v>260.87360306427661</c:v>
                </c:pt>
                <c:pt idx="584">
                  <c:v>262.60040874429092</c:v>
                </c:pt>
                <c:pt idx="585">
                  <c:v>264.3225480724322</c:v>
                </c:pt>
                <c:pt idx="586">
                  <c:v>266.04011443630588</c:v>
                </c:pt>
                <c:pt idx="587">
                  <c:v>267.75319989711357</c:v>
                </c:pt>
                <c:pt idx="588">
                  <c:v>269.46189522240252</c:v>
                </c:pt>
                <c:pt idx="589">
                  <c:v>271.16628991768562</c:v>
                </c:pt>
                <c:pt idx="590">
                  <c:v>272.86647225695435</c:v>
                </c:pt>
                <c:pt idx="591">
                  <c:v>274.56252931210372</c:v>
                </c:pt>
                <c:pt idx="592">
                  <c:v>276.25454698128613</c:v>
                </c:pt>
                <c:pt idx="593">
                  <c:v>277.94261001620833</c:v>
                </c:pt>
                <c:pt idx="594">
                  <c:v>279.62680204838176</c:v>
                </c:pt>
                <c:pt idx="595">
                  <c:v>281.30720561433486</c:v>
                </c:pt>
                <c:pt idx="596">
                  <c:v>282.98390217979176</c:v>
                </c:pt>
                <c:pt idx="597">
                  <c:v>284.65697216281882</c:v>
                </c:pt>
                <c:pt idx="598">
                  <c:v>286.32649495593637</c:v>
                </c:pt>
                <c:pt idx="599">
                  <c:v>287.99254894719019</c:v>
                </c:pt>
                <c:pt idx="600">
                  <c:v>289.65521154017165</c:v>
                </c:pt>
                <c:pt idx="601">
                  <c:v>291.31455917297228</c:v>
                </c:pt>
                <c:pt idx="602">
                  <c:v>292.97066733605294</c:v>
                </c:pt>
                <c:pt idx="603">
                  <c:v>294.62361058900251</c:v>
                </c:pt>
                <c:pt idx="604">
                  <c:v>296.27346257615534</c:v>
                </c:pt>
                <c:pt idx="605">
                  <c:v>297.92029604103016</c:v>
                </c:pt>
                <c:pt idx="606">
                  <c:v>299.56418283954599</c:v>
                </c:pt>
                <c:pt idx="607">
                  <c:v>301.205193951963</c:v>
                </c:pt>
                <c:pt idx="608">
                  <c:v>302.84339949348691</c:v>
                </c:pt>
                <c:pt idx="609">
                  <c:v>304.47886872346635</c:v>
                </c:pt>
                <c:pt idx="610">
                  <c:v>306.11167005310153</c:v>
                </c:pt>
                <c:pt idx="611">
                  <c:v>307.74187105157012</c:v>
                </c:pt>
                <c:pt idx="612">
                  <c:v>309.36953845046247</c:v>
                </c:pt>
                <c:pt idx="613">
                  <c:v>310.99473814640373</c:v>
                </c:pt>
                <c:pt idx="614">
                  <c:v>312.61753520172221</c:v>
                </c:pt>
                <c:pt idx="615">
                  <c:v>314.23799384300395</c:v>
                </c:pt>
                <c:pt idx="616">
                  <c:v>315.85617745735289</c:v>
                </c:pt>
                <c:pt idx="617">
                  <c:v>317.47214858614979</c:v>
                </c:pt>
                <c:pt idx="618">
                  <c:v>319.08596891607715</c:v>
                </c:pt>
                <c:pt idx="619">
                  <c:v>320.69769926714565</c:v>
                </c:pt>
                <c:pt idx="620">
                  <c:v>322.30739957742412</c:v>
                </c:pt>
                <c:pt idx="621">
                  <c:v>323.91512888413683</c:v>
                </c:pt>
                <c:pt idx="622">
                  <c:v>325.52094530074999</c:v>
                </c:pt>
                <c:pt idx="623">
                  <c:v>327.1249059896237</c:v>
                </c:pt>
                <c:pt idx="624">
                  <c:v>328.72706712975611</c:v>
                </c:pt>
                <c:pt idx="625">
                  <c:v>330.3274838790939</c:v>
                </c:pt>
                <c:pt idx="626">
                  <c:v>331.92621033082804</c:v>
                </c:pt>
                <c:pt idx="627">
                  <c:v>333.52329946303837</c:v>
                </c:pt>
                <c:pt idx="628">
                  <c:v>335.11880308099688</c:v>
                </c:pt>
                <c:pt idx="629">
                  <c:v>336.71277175139221</c:v>
                </c:pt>
                <c:pt idx="630">
                  <c:v>338.30525472769966</c:v>
                </c:pt>
                <c:pt idx="631">
                  <c:v>339.89629986590546</c:v>
                </c:pt>
                <c:pt idx="632">
                  <c:v>341.4859535298026</c:v>
                </c:pt>
                <c:pt idx="633">
                  <c:v>343.07426048513088</c:v>
                </c:pt>
                <c:pt idx="634">
                  <c:v>344.66126378194502</c:v>
                </c:pt>
                <c:pt idx="635">
                  <c:v>346.24700462478734</c:v>
                </c:pt>
                <c:pt idx="636">
                  <c:v>347.83152223053497</c:v>
                </c:pt>
                <c:pt idx="637">
                  <c:v>349.41485367421296</c:v>
                </c:pt>
                <c:pt idx="638">
                  <c:v>350.99703372363155</c:v>
                </c:pt>
                <c:pt idx="639">
                  <c:v>352.57809466443666</c:v>
                </c:pt>
                <c:pt idx="640">
                  <c:v>354.15806611804953</c:v>
                </c:pt>
                <c:pt idx="641">
                  <c:v>355.73697485599149</c:v>
                </c:pt>
                <c:pt idx="642">
                  <c:v>357.31484461517903</c:v>
                </c:pt>
                <c:pt idx="643">
                  <c:v>358.89169591982784</c:v>
                </c:pt>
                <c:pt idx="644">
                  <c:v>360.4675459164834</c:v>
                </c:pt>
                <c:pt idx="645">
                  <c:v>362.04240822922424</c:v>
                </c:pt>
                <c:pt idx="646">
                  <c:v>363.61629284210136</c:v>
                </c:pt>
                <c:pt idx="647">
                  <c:v>365.18920601525173</c:v>
                </c:pt>
                <c:pt idx="648">
                  <c:v>366.76115023982084</c:v>
                </c:pt>
                <c:pt idx="649">
                  <c:v>368.33212423492182</c:v>
                </c:pt>
                <c:pt idx="650">
                  <c:v>369.90212298754705</c:v>
                </c:pt>
                <c:pt idx="651">
                  <c:v>371.47113783391399</c:v>
                </c:pt>
                <c:pt idx="652">
                  <c:v>373.03915657848501</c:v>
                </c:pt>
                <c:pt idx="653">
                  <c:v>374.60616364511975</c:v>
                </c:pt>
                <c:pt idx="654">
                  <c:v>376.1721402536707</c:v>
                </c:pt>
                <c:pt idx="655">
                  <c:v>377.73706461486853</c:v>
                </c:pt>
                <c:pt idx="656">
                  <c:v>379.3009121364999</c:v>
                </c:pt>
                <c:pt idx="657">
                  <c:v>380.86365563451795</c:v>
                </c:pt>
                <c:pt idx="658">
                  <c:v>382.42526554367089</c:v>
                </c:pt>
                <c:pt idx="659">
                  <c:v>383.98571012332189</c:v>
                </c:pt>
                <c:pt idx="660">
                  <c:v>385.54495565522416</c:v>
                </c:pt>
                <c:pt idx="661">
                  <c:v>387.10296663101951</c:v>
                </c:pt>
                <c:pt idx="662">
                  <c:v>388.65970592808696</c:v>
                </c:pt>
                <c:pt idx="663">
                  <c:v>390.21513497306427</c:v>
                </c:pt>
                <c:pt idx="664">
                  <c:v>391.76921389289919</c:v>
                </c:pt>
                <c:pt idx="665">
                  <c:v>393.32190165367672</c:v>
                </c:pt>
                <c:pt idx="666">
                  <c:v>394.87315618773545</c:v>
                </c:pt>
                <c:pt idx="667">
                  <c:v>396.42293450975518</c:v>
                </c:pt>
                <c:pt idx="668">
                  <c:v>397.97119282259303</c:v>
                </c:pt>
                <c:pt idx="669">
                  <c:v>399.51788661368317</c:v>
                </c:pt>
                <c:pt idx="670">
                  <c:v>401.06297074281815</c:v>
                </c:pt>
                <c:pt idx="671">
                  <c:v>402.60639952210084</c:v>
                </c:pt>
                <c:pt idx="672">
                  <c:v>404.14812678881691</c:v>
                </c:pt>
                <c:pt idx="673">
                  <c:v>405.68810597192379</c:v>
                </c:pt>
                <c:pt idx="674">
                  <c:v>407.22629015279676</c:v>
                </c:pt>
                <c:pt idx="675">
                  <c:v>408.76263212081579</c:v>
                </c:pt>
                <c:pt idx="676">
                  <c:v>410.29708442432104</c:v>
                </c:pt>
                <c:pt idx="677">
                  <c:v>411.82959941741137</c:v>
                </c:pt>
                <c:pt idx="678">
                  <c:v>413.36012930301155</c:v>
                </c:pt>
                <c:pt idx="679">
                  <c:v>414.88862617258803</c:v>
                </c:pt>
                <c:pt idx="680">
                  <c:v>416.41504204285235</c:v>
                </c:pt>
                <c:pt idx="681">
                  <c:v>417.93932888975337</c:v>
                </c:pt>
                <c:pt idx="682">
                  <c:v>419.46143868002645</c:v>
                </c:pt>
                <c:pt idx="683">
                  <c:v>420.98132340053809</c:v>
                </c:pt>
                <c:pt idx="684">
                  <c:v>422.49893508563764</c:v>
                </c:pt>
                <c:pt idx="685">
                  <c:v>424.01422584270409</c:v>
                </c:pt>
                <c:pt idx="686">
                  <c:v>425.52714787605549</c:v>
                </c:pt>
                <c:pt idx="687">
                  <c:v>427.03765350936931</c:v>
                </c:pt>
                <c:pt idx="688">
                  <c:v>428.54569520674642</c:v>
                </c:pt>
                <c:pt idx="689">
                  <c:v>430.05122559253664</c:v>
                </c:pt>
                <c:pt idx="690">
                  <c:v>431.55419747003043</c:v>
                </c:pt>
                <c:pt idx="691">
                  <c:v>433.05456383911121</c:v>
                </c:pt>
                <c:pt idx="692">
                  <c:v>434.55227791295135</c:v>
                </c:pt>
                <c:pt idx="693">
                  <c:v>436.04729313382728</c:v>
                </c:pt>
                <c:pt idx="694">
                  <c:v>437.53956318812021</c:v>
                </c:pt>
                <c:pt idx="695">
                  <c:v>439.02904202056317</c:v>
                </c:pt>
                <c:pt idx="696">
                  <c:v>440.51568384778778</c:v>
                </c:pt>
                <c:pt idx="697">
                  <c:v>441.99944317121924</c:v>
                </c:pt>
                <c:pt idx="698">
                  <c:v>443.48027478936336</c:v>
                </c:pt>
                <c:pt idx="699">
                  <c:v>444.95813380952461</c:v>
                </c:pt>
                <c:pt idx="700">
                  <c:v>446.43297565899076</c:v>
                </c:pt>
                <c:pt idx="701">
                  <c:v>447.90475609571587</c:v>
                </c:pt>
                <c:pt idx="702">
                  <c:v>449.37343121853087</c:v>
                </c:pt>
                <c:pt idx="703">
                  <c:v>450.8389574769073</c:v>
                </c:pt>
                <c:pt idx="704">
                  <c:v>452.30129168029873</c:v>
                </c:pt>
                <c:pt idx="705">
                  <c:v>453.76039100708073</c:v>
                </c:pt>
                <c:pt idx="706">
                  <c:v>455.21621301310921</c:v>
                </c:pt>
                <c:pt idx="707">
                  <c:v>456.66871563991532</c:v>
                </c:pt>
                <c:pt idx="708">
                  <c:v>458.11785722255257</c:v>
                </c:pt>
                <c:pt idx="709">
                  <c:v>459.56359649711152</c:v>
                </c:pt>
                <c:pt idx="710">
                  <c:v>461.00589260791543</c:v>
                </c:pt>
                <c:pt idx="711">
                  <c:v>462.44470511440943</c:v>
                </c:pt>
                <c:pt idx="712">
                  <c:v>463.87999399775487</c:v>
                </c:pt>
                <c:pt idx="713">
                  <c:v>465.31171966713868</c:v>
                </c:pt>
                <c:pt idx="714">
                  <c:v>466.73984296580841</c:v>
                </c:pt>
                <c:pt idx="715">
                  <c:v>468.16432517684137</c:v>
                </c:pt>
                <c:pt idx="716">
                  <c:v>469.58512802865619</c:v>
                </c:pt>
                <c:pt idx="717">
                  <c:v>471.00221370027435</c:v>
                </c:pt>
                <c:pt idx="718">
                  <c:v>472.41554482633973</c:v>
                </c:pt>
                <c:pt idx="719">
                  <c:v>473.82508450190136</c:v>
                </c:pt>
                <c:pt idx="720">
                  <c:v>475.23079628696706</c:v>
                </c:pt>
                <c:pt idx="721">
                  <c:v>476.63264421083284</c:v>
                </c:pt>
                <c:pt idx="722">
                  <c:v>478.03059277619383</c:v>
                </c:pt>
                <c:pt idx="723">
                  <c:v>479.42460696304198</c:v>
                </c:pt>
                <c:pt idx="724">
                  <c:v>480.81465223235512</c:v>
                </c:pt>
                <c:pt idx="725">
                  <c:v>482.20069452958217</c:v>
                </c:pt>
                <c:pt idx="726">
                  <c:v>483.58270028792896</c:v>
                </c:pt>
                <c:pt idx="727">
                  <c:v>484.96063643144811</c:v>
                </c:pt>
                <c:pt idx="728">
                  <c:v>486.33447037793786</c:v>
                </c:pt>
                <c:pt idx="729">
                  <c:v>487.70417004165296</c:v>
                </c:pt>
                <c:pt idx="730">
                  <c:v>489.06970383583121</c:v>
                </c:pt>
                <c:pt idx="731">
                  <c:v>490.43104067503941</c:v>
                </c:pt>
                <c:pt idx="732">
                  <c:v>491.78814997734207</c:v>
                </c:pt>
                <c:pt idx="733">
                  <c:v>493.14100166629555</c:v>
                </c:pt>
                <c:pt idx="734">
                  <c:v>494.48956617277145</c:v>
                </c:pt>
                <c:pt idx="735">
                  <c:v>495.83381443661159</c:v>
                </c:pt>
                <c:pt idx="736">
                  <c:v>497.17371790811825</c:v>
                </c:pt>
                <c:pt idx="737">
                  <c:v>498.50924854938171</c:v>
                </c:pt>
                <c:pt idx="738">
                  <c:v>499.84037883544858</c:v>
                </c:pt>
                <c:pt idx="739">
                  <c:v>501.16708175533313</c:v>
                </c:pt>
                <c:pt idx="740">
                  <c:v>502.4893308128747</c:v>
                </c:pt>
                <c:pt idx="741">
                  <c:v>503.80710002744337</c:v>
                </c:pt>
                <c:pt idx="742">
                  <c:v>505.12036393449716</c:v>
                </c:pt>
                <c:pt idx="743">
                  <c:v>506.42909758599234</c:v>
                </c:pt>
                <c:pt idx="744">
                  <c:v>507.73327655065026</c:v>
                </c:pt>
                <c:pt idx="745">
                  <c:v>509.03287691408275</c:v>
                </c:pt>
                <c:pt idx="746">
                  <c:v>510.32787527877855</c:v>
                </c:pt>
                <c:pt idx="747">
                  <c:v>511.61824876395326</c:v>
                </c:pt>
                <c:pt idx="748">
                  <c:v>512.90397500526512</c:v>
                </c:pt>
                <c:pt idx="749">
                  <c:v>514.18503215439955</c:v>
                </c:pt>
                <c:pt idx="750">
                  <c:v>515.46139887852348</c:v>
                </c:pt>
                <c:pt idx="751">
                  <c:v>516.73305435961367</c:v>
                </c:pt>
                <c:pt idx="752">
                  <c:v>517.99997829365998</c:v>
                </c:pt>
                <c:pt idx="753">
                  <c:v>519.26215088974618</c:v>
                </c:pt>
                <c:pt idx="754">
                  <c:v>520.51955286901114</c:v>
                </c:pt>
                <c:pt idx="755">
                  <c:v>521.77216546349212</c:v>
                </c:pt>
                <c:pt idx="756">
                  <c:v>523.01997041485276</c:v>
                </c:pt>
                <c:pt idx="757">
                  <c:v>524.26294997299829</c:v>
                </c:pt>
                <c:pt idx="758">
                  <c:v>525.5010868945792</c:v>
                </c:pt>
                <c:pt idx="759">
                  <c:v>526.73436444138736</c:v>
                </c:pt>
                <c:pt idx="760">
                  <c:v>527.96276637864503</c:v>
                </c:pt>
                <c:pt idx="761">
                  <c:v>529.1862769731905</c:v>
                </c:pt>
                <c:pt idx="762">
                  <c:v>530.40488099156187</c:v>
                </c:pt>
                <c:pt idx="763">
                  <c:v>531.6185636979809</c:v>
                </c:pt>
                <c:pt idx="764">
                  <c:v>532.82731085224032</c:v>
                </c:pt>
                <c:pt idx="765">
                  <c:v>534.03110870749549</c:v>
                </c:pt>
                <c:pt idx="766">
                  <c:v>535.22994400796404</c:v>
                </c:pt>
                <c:pt idx="767">
                  <c:v>536.42380398653415</c:v>
                </c:pt>
                <c:pt idx="768">
                  <c:v>537.61267636228479</c:v>
                </c:pt>
                <c:pt idx="769">
                  <c:v>538.79654933791994</c:v>
                </c:pt>
                <c:pt idx="770">
                  <c:v>539.97541159711886</c:v>
                </c:pt>
                <c:pt idx="771">
                  <c:v>541.14925230180449</c:v>
                </c:pt>
                <c:pt idx="772">
                  <c:v>542.31806108933222</c:v>
                </c:pt>
                <c:pt idx="773">
                  <c:v>543.48182806960119</c:v>
                </c:pt>
                <c:pt idx="774">
                  <c:v>544.64054382209065</c:v>
                </c:pt>
                <c:pt idx="775">
                  <c:v>545.79419939282297</c:v>
                </c:pt>
                <c:pt idx="776">
                  <c:v>546.94278629125552</c:v>
                </c:pt>
                <c:pt idx="777">
                  <c:v>548.08629648710405</c:v>
                </c:pt>
                <c:pt idx="778">
                  <c:v>549.22472240709908</c:v>
                </c:pt>
                <c:pt idx="779">
                  <c:v>550.35805693167777</c:v>
                </c:pt>
                <c:pt idx="780">
                  <c:v>551.486293391613</c:v>
                </c:pt>
                <c:pt idx="781">
                  <c:v>552.60942556458258</c:v>
                </c:pt>
                <c:pt idx="782">
                  <c:v>553.72744767167922</c:v>
                </c:pt>
                <c:pt idx="783">
                  <c:v>554.84035437386444</c:v>
                </c:pt>
                <c:pt idx="784">
                  <c:v>555.9481407683686</c:v>
                </c:pt>
                <c:pt idx="785">
                  <c:v>557.05080238503785</c:v>
                </c:pt>
                <c:pt idx="786">
                  <c:v>558.14833518263117</c:v>
                </c:pt>
                <c:pt idx="787">
                  <c:v>559.24073554506901</c:v>
                </c:pt>
                <c:pt idx="788">
                  <c:v>560.32800027763528</c:v>
                </c:pt>
                <c:pt idx="789">
                  <c:v>561.41012660313538</c:v>
                </c:pt>
                <c:pt idx="790">
                  <c:v>562.48711215801109</c:v>
                </c:pt>
                <c:pt idx="791">
                  <c:v>563.55895498841528</c:v>
                </c:pt>
                <c:pt idx="792">
                  <c:v>564.62565354624758</c:v>
                </c:pt>
                <c:pt idx="793">
                  <c:v>565.68720668515346</c:v>
                </c:pt>
                <c:pt idx="794">
                  <c:v>566.74361365648815</c:v>
                </c:pt>
                <c:pt idx="795">
                  <c:v>567.79487410524723</c:v>
                </c:pt>
                <c:pt idx="796">
                  <c:v>568.84098806596592</c:v>
                </c:pt>
                <c:pt idx="797">
                  <c:v>569.88195595858906</c:v>
                </c:pt>
                <c:pt idx="798">
                  <c:v>570.9177785843126</c:v>
                </c:pt>
                <c:pt idx="799">
                  <c:v>571.94845712139954</c:v>
                </c:pt>
                <c:pt idx="800">
                  <c:v>572.97399312097116</c:v>
                </c:pt>
                <c:pt idx="801">
                  <c:v>573.99438850277579</c:v>
                </c:pt>
                <c:pt idx="802">
                  <c:v>575.0096455509364</c:v>
                </c:pt>
                <c:pt idx="803">
                  <c:v>576.01976690967842</c:v>
                </c:pt>
                <c:pt idx="804">
                  <c:v>577.02475557904086</c:v>
                </c:pt>
                <c:pt idx="805">
                  <c:v>578.02461491056988</c:v>
                </c:pt>
                <c:pt idx="806">
                  <c:v>579.01934860299889</c:v>
                </c:pt>
                <c:pt idx="807">
                  <c:v>580.00896069791509</c:v>
                </c:pt>
                <c:pt idx="808">
                  <c:v>580.99345557541437</c:v>
                </c:pt>
                <c:pt idx="809">
                  <c:v>581.97283794974669</c:v>
                </c:pt>
                <c:pt idx="810">
                  <c:v>582.94711286495226</c:v>
                </c:pt>
                <c:pt idx="811">
                  <c:v>583.91628569049124</c:v>
                </c:pt>
                <c:pt idx="812">
                  <c:v>584.8803621168671</c:v>
                </c:pt>
                <c:pt idx="813">
                  <c:v>585.83934815124655</c:v>
                </c:pt>
                <c:pt idx="814">
                  <c:v>586.79325011307537</c:v>
                </c:pt>
                <c:pt idx="815">
                  <c:v>587.742074629694</c:v>
                </c:pt>
                <c:pt idx="816">
                  <c:v>588.68582863195172</c:v>
                </c:pt>
                <c:pt idx="817">
                  <c:v>589.62451934982255</c:v>
                </c:pt>
                <c:pt idx="818">
                  <c:v>590.55815430802329</c:v>
                </c:pt>
                <c:pt idx="819">
                  <c:v>591.4867413216349</c:v>
                </c:pt>
                <c:pt idx="820">
                  <c:v>592.41028849172892</c:v>
                </c:pt>
                <c:pt idx="821">
                  <c:v>593.32880420099957</c:v>
                </c:pt>
                <c:pt idx="822">
                  <c:v>594.24229710940301</c:v>
                </c:pt>
                <c:pt idx="823">
                  <c:v>595.1507761498051</c:v>
                </c:pt>
                <c:pt idx="824">
                  <c:v>596.05425052363819</c:v>
                </c:pt>
                <c:pt idx="825">
                  <c:v>596.9527296965681</c:v>
                </c:pt>
                <c:pt idx="826">
                  <c:v>597.84622339417342</c:v>
                </c:pt>
                <c:pt idx="827">
                  <c:v>598.73474159763646</c:v>
                </c:pt>
                <c:pt idx="828">
                  <c:v>599.61829453944802</c:v>
                </c:pt>
                <c:pt idx="829">
                  <c:v>600.49689269912676</c:v>
                </c:pt>
                <c:pt idx="830">
                  <c:v>601.3705467989538</c:v>
                </c:pt>
                <c:pt idx="831">
                  <c:v>602.23926779972396</c:v>
                </c:pt>
                <c:pt idx="832">
                  <c:v>603.10306689651384</c:v>
                </c:pt>
                <c:pt idx="833">
                  <c:v>603.96195551446851</c:v>
                </c:pt>
                <c:pt idx="834">
                  <c:v>604.81594530460688</c:v>
                </c:pt>
                <c:pt idx="835">
                  <c:v>605.66504813964707</c:v>
                </c:pt>
                <c:pt idx="836">
                  <c:v>606.50927610985218</c:v>
                </c:pt>
                <c:pt idx="837">
                  <c:v>607.34864151889758</c:v>
                </c:pt>
                <c:pt idx="838">
                  <c:v>608.18315687976053</c:v>
                </c:pt>
                <c:pt idx="839">
                  <c:v>609.01283491063248</c:v>
                </c:pt>
                <c:pt idx="840">
                  <c:v>609.83768853085473</c:v>
                </c:pt>
                <c:pt idx="841">
                  <c:v>610.65773085687874</c:v>
                </c:pt>
                <c:pt idx="842">
                  <c:v>611.47297519825145</c:v>
                </c:pt>
                <c:pt idx="843">
                  <c:v>612.28343505362557</c:v>
                </c:pt>
                <c:pt idx="844">
                  <c:v>613.08912410679648</c:v>
                </c:pt>
                <c:pt idx="845">
                  <c:v>613.89005622276591</c:v>
                </c:pt>
                <c:pt idx="846">
                  <c:v>614.68624544383272</c:v>
                </c:pt>
                <c:pt idx="847">
                  <c:v>615.47770598571162</c:v>
                </c:pt>
                <c:pt idx="848">
                  <c:v>616.26445223368046</c:v>
                </c:pt>
                <c:pt idx="849">
                  <c:v>617.04649873875599</c:v>
                </c:pt>
                <c:pt idx="850">
                  <c:v>617.82386021389925</c:v>
                </c:pt>
                <c:pt idx="851">
                  <c:v>618.59655153025108</c:v>
                </c:pt>
                <c:pt idx="852">
                  <c:v>619.36458771339733</c:v>
                </c:pt>
                <c:pt idx="853">
                  <c:v>620.12798393966511</c:v>
                </c:pt>
                <c:pt idx="854">
                  <c:v>620.88675553244968</c:v>
                </c:pt>
                <c:pt idx="855">
                  <c:v>621.64091795857371</c:v>
                </c:pt>
                <c:pt idx="856">
                  <c:v>622.39048682467728</c:v>
                </c:pt>
                <c:pt idx="857">
                  <c:v>623.13547787364075</c:v>
                </c:pt>
                <c:pt idx="858">
                  <c:v>623.87590698103963</c:v>
                </c:pt>
                <c:pt idx="859">
                  <c:v>624.61179015163282</c:v>
                </c:pt>
                <c:pt idx="860">
                  <c:v>625.34314351588318</c:v>
                </c:pt>
                <c:pt idx="861">
                  <c:v>626.06998332651199</c:v>
                </c:pt>
                <c:pt idx="862">
                  <c:v>626.79232595508665</c:v>
                </c:pt>
                <c:pt idx="863">
                  <c:v>627.51018788864246</c:v>
                </c:pt>
                <c:pt idx="864">
                  <c:v>628.22358572633811</c:v>
                </c:pt>
                <c:pt idx="865">
                  <c:v>628.93253617614562</c:v>
                </c:pt>
                <c:pt idx="866">
                  <c:v>629.6370560515744</c:v>
                </c:pt>
                <c:pt idx="867">
                  <c:v>630.33716226843023</c:v>
                </c:pt>
                <c:pt idx="868">
                  <c:v>631.03287184160877</c:v>
                </c:pt>
                <c:pt idx="869">
                  <c:v>631.72420188192359</c:v>
                </c:pt>
                <c:pt idx="870">
                  <c:v>632.41116959296983</c:v>
                </c:pt>
                <c:pt idx="871">
                  <c:v>633.09379226802241</c:v>
                </c:pt>
                <c:pt idx="872">
                  <c:v>633.77208728696939</c:v>
                </c:pt>
                <c:pt idx="873">
                  <c:v>634.44607211328116</c:v>
                </c:pt>
                <c:pt idx="874">
                  <c:v>635.11576429101387</c:v>
                </c:pt>
                <c:pt idx="875">
                  <c:v>635.78118144184918</c:v>
                </c:pt>
                <c:pt idx="876">
                  <c:v>636.44234126216907</c:v>
                </c:pt>
                <c:pt idx="877">
                  <c:v>637.09926152016578</c:v>
                </c:pt>
                <c:pt idx="878">
                  <c:v>637.75196005298756</c:v>
                </c:pt>
                <c:pt idx="879">
                  <c:v>638.40045476391947</c:v>
                </c:pt>
                <c:pt idx="880">
                  <c:v>638.40045476391947</c:v>
                </c:pt>
                <c:pt idx="881">
                  <c:v>638.40045476391947</c:v>
                </c:pt>
                <c:pt idx="882">
                  <c:v>638.40045476391947</c:v>
                </c:pt>
                <c:pt idx="883">
                  <c:v>638.40045476391947</c:v>
                </c:pt>
                <c:pt idx="884">
                  <c:v>638.40045476391947</c:v>
                </c:pt>
                <c:pt idx="885">
                  <c:v>638.40045476391947</c:v>
                </c:pt>
                <c:pt idx="886">
                  <c:v>638.40045476391947</c:v>
                </c:pt>
                <c:pt idx="887">
                  <c:v>638.40045476391947</c:v>
                </c:pt>
                <c:pt idx="888">
                  <c:v>638.40045476391947</c:v>
                </c:pt>
                <c:pt idx="889">
                  <c:v>638.40045476391947</c:v>
                </c:pt>
                <c:pt idx="890">
                  <c:v>638.40045476391947</c:v>
                </c:pt>
                <c:pt idx="891">
                  <c:v>638.40045476391947</c:v>
                </c:pt>
                <c:pt idx="892">
                  <c:v>638.40045476391947</c:v>
                </c:pt>
                <c:pt idx="893">
                  <c:v>638.40045476391947</c:v>
                </c:pt>
                <c:pt idx="894">
                  <c:v>638.40045476391947</c:v>
                </c:pt>
                <c:pt idx="895">
                  <c:v>638.40045476391947</c:v>
                </c:pt>
                <c:pt idx="896">
                  <c:v>638.40045476391947</c:v>
                </c:pt>
                <c:pt idx="897">
                  <c:v>638.40045476391947</c:v>
                </c:pt>
                <c:pt idx="898">
                  <c:v>638.40045476391947</c:v>
                </c:pt>
                <c:pt idx="899">
                  <c:v>638.40045476391947</c:v>
                </c:pt>
                <c:pt idx="900">
                  <c:v>638.40045476391947</c:v>
                </c:pt>
                <c:pt idx="901">
                  <c:v>638.40045476391947</c:v>
                </c:pt>
                <c:pt idx="902">
                  <c:v>638.40045476391947</c:v>
                </c:pt>
                <c:pt idx="903">
                  <c:v>638.40045476391947</c:v>
                </c:pt>
                <c:pt idx="904">
                  <c:v>638.40045476391947</c:v>
                </c:pt>
                <c:pt idx="905">
                  <c:v>638.40045476391947</c:v>
                </c:pt>
                <c:pt idx="906">
                  <c:v>638.40045476391947</c:v>
                </c:pt>
                <c:pt idx="907">
                  <c:v>638.40045476391947</c:v>
                </c:pt>
                <c:pt idx="908">
                  <c:v>638.40045476391947</c:v>
                </c:pt>
                <c:pt idx="909">
                  <c:v>638.40045476391947</c:v>
                </c:pt>
                <c:pt idx="910">
                  <c:v>638.40045476391947</c:v>
                </c:pt>
                <c:pt idx="911">
                  <c:v>638.40045476391947</c:v>
                </c:pt>
                <c:pt idx="912">
                  <c:v>638.40045476391947</c:v>
                </c:pt>
                <c:pt idx="913">
                  <c:v>638.40045476391947</c:v>
                </c:pt>
                <c:pt idx="914">
                  <c:v>638.40045476391947</c:v>
                </c:pt>
                <c:pt idx="915">
                  <c:v>638.40045476391947</c:v>
                </c:pt>
                <c:pt idx="916">
                  <c:v>638.40045476391947</c:v>
                </c:pt>
                <c:pt idx="917">
                  <c:v>638.40045476391947</c:v>
                </c:pt>
                <c:pt idx="918">
                  <c:v>638.40045476391947</c:v>
                </c:pt>
                <c:pt idx="919">
                  <c:v>638.40045476391947</c:v>
                </c:pt>
                <c:pt idx="920">
                  <c:v>638.40045476391947</c:v>
                </c:pt>
                <c:pt idx="921">
                  <c:v>638.40045476391947</c:v>
                </c:pt>
                <c:pt idx="922">
                  <c:v>638.40045476391947</c:v>
                </c:pt>
                <c:pt idx="923">
                  <c:v>638.40045476391947</c:v>
                </c:pt>
                <c:pt idx="924">
                  <c:v>638.40045476391947</c:v>
                </c:pt>
                <c:pt idx="925">
                  <c:v>638.40045476391947</c:v>
                </c:pt>
                <c:pt idx="926">
                  <c:v>638.40045476391947</c:v>
                </c:pt>
                <c:pt idx="927">
                  <c:v>638.40045476391947</c:v>
                </c:pt>
                <c:pt idx="928">
                  <c:v>638.40045476391947</c:v>
                </c:pt>
                <c:pt idx="929">
                  <c:v>638.40045476391947</c:v>
                </c:pt>
                <c:pt idx="930">
                  <c:v>638.40045476391947</c:v>
                </c:pt>
                <c:pt idx="931">
                  <c:v>638.40045476391947</c:v>
                </c:pt>
                <c:pt idx="932">
                  <c:v>638.40045476391947</c:v>
                </c:pt>
                <c:pt idx="933">
                  <c:v>638.40045476391947</c:v>
                </c:pt>
                <c:pt idx="934">
                  <c:v>638.40045476391947</c:v>
                </c:pt>
                <c:pt idx="935">
                  <c:v>638.40045476391947</c:v>
                </c:pt>
                <c:pt idx="936">
                  <c:v>638.40045476391947</c:v>
                </c:pt>
                <c:pt idx="937">
                  <c:v>638.40045476391947</c:v>
                </c:pt>
                <c:pt idx="938">
                  <c:v>638.40045476391947</c:v>
                </c:pt>
                <c:pt idx="939">
                  <c:v>638.40045476391947</c:v>
                </c:pt>
                <c:pt idx="940">
                  <c:v>638.40045476391947</c:v>
                </c:pt>
                <c:pt idx="941">
                  <c:v>638.40045476391947</c:v>
                </c:pt>
                <c:pt idx="942">
                  <c:v>638.40045476391947</c:v>
                </c:pt>
                <c:pt idx="943">
                  <c:v>638.40045476391947</c:v>
                </c:pt>
                <c:pt idx="944">
                  <c:v>638.40045476391947</c:v>
                </c:pt>
                <c:pt idx="945">
                  <c:v>638.40045476391947</c:v>
                </c:pt>
                <c:pt idx="946">
                  <c:v>638.40045476391947</c:v>
                </c:pt>
                <c:pt idx="947">
                  <c:v>638.40045476391947</c:v>
                </c:pt>
                <c:pt idx="948">
                  <c:v>638.40045476391947</c:v>
                </c:pt>
                <c:pt idx="949">
                  <c:v>638.40045476391947</c:v>
                </c:pt>
                <c:pt idx="950">
                  <c:v>638.40045476391947</c:v>
                </c:pt>
                <c:pt idx="951">
                  <c:v>638.40045476391947</c:v>
                </c:pt>
                <c:pt idx="952">
                  <c:v>638.40045476391947</c:v>
                </c:pt>
                <c:pt idx="953">
                  <c:v>638.40045476391947</c:v>
                </c:pt>
                <c:pt idx="954">
                  <c:v>638.40045476391947</c:v>
                </c:pt>
                <c:pt idx="955">
                  <c:v>638.40045476391947</c:v>
                </c:pt>
                <c:pt idx="956">
                  <c:v>638.40045476391947</c:v>
                </c:pt>
                <c:pt idx="957">
                  <c:v>638.40045476391947</c:v>
                </c:pt>
                <c:pt idx="958">
                  <c:v>638.40045476391947</c:v>
                </c:pt>
                <c:pt idx="959">
                  <c:v>638.40045476391947</c:v>
                </c:pt>
                <c:pt idx="960">
                  <c:v>638.40045476391947</c:v>
                </c:pt>
                <c:pt idx="961">
                  <c:v>638.40045476391947</c:v>
                </c:pt>
                <c:pt idx="962">
                  <c:v>638.40045476391947</c:v>
                </c:pt>
                <c:pt idx="963">
                  <c:v>638.40045476391947</c:v>
                </c:pt>
                <c:pt idx="964">
                  <c:v>638.40045476391947</c:v>
                </c:pt>
                <c:pt idx="965">
                  <c:v>638.40045476391947</c:v>
                </c:pt>
                <c:pt idx="966">
                  <c:v>638.40045476391947</c:v>
                </c:pt>
                <c:pt idx="967">
                  <c:v>638.40045476391947</c:v>
                </c:pt>
                <c:pt idx="968">
                  <c:v>638.40045476391947</c:v>
                </c:pt>
                <c:pt idx="969">
                  <c:v>638.40045476391947</c:v>
                </c:pt>
                <c:pt idx="970">
                  <c:v>638.40045476391947</c:v>
                </c:pt>
                <c:pt idx="971">
                  <c:v>638.40045476391947</c:v>
                </c:pt>
                <c:pt idx="972">
                  <c:v>638.40045476391947</c:v>
                </c:pt>
                <c:pt idx="973">
                  <c:v>638.40045476391947</c:v>
                </c:pt>
                <c:pt idx="974">
                  <c:v>638.40045476391947</c:v>
                </c:pt>
                <c:pt idx="975">
                  <c:v>638.40045476391947</c:v>
                </c:pt>
                <c:pt idx="976">
                  <c:v>638.40045476391947</c:v>
                </c:pt>
                <c:pt idx="977">
                  <c:v>638.40045476391947</c:v>
                </c:pt>
                <c:pt idx="978">
                  <c:v>638.40045476391947</c:v>
                </c:pt>
                <c:pt idx="979">
                  <c:v>638.40045476391947</c:v>
                </c:pt>
                <c:pt idx="980">
                  <c:v>638.40045476391947</c:v>
                </c:pt>
                <c:pt idx="981">
                  <c:v>638.40045476391947</c:v>
                </c:pt>
                <c:pt idx="982">
                  <c:v>638.40045476391947</c:v>
                </c:pt>
                <c:pt idx="983">
                  <c:v>638.40045476391947</c:v>
                </c:pt>
                <c:pt idx="984">
                  <c:v>638.40045476391947</c:v>
                </c:pt>
                <c:pt idx="985">
                  <c:v>638.40045476391947</c:v>
                </c:pt>
                <c:pt idx="986">
                  <c:v>638.40045476391947</c:v>
                </c:pt>
                <c:pt idx="987">
                  <c:v>638.40045476391947</c:v>
                </c:pt>
                <c:pt idx="988">
                  <c:v>638.40045476391947</c:v>
                </c:pt>
                <c:pt idx="989">
                  <c:v>638.40045476391947</c:v>
                </c:pt>
                <c:pt idx="990">
                  <c:v>638.40045476391947</c:v>
                </c:pt>
                <c:pt idx="991">
                  <c:v>638.40045476391947</c:v>
                </c:pt>
                <c:pt idx="992">
                  <c:v>638.40045476391947</c:v>
                </c:pt>
                <c:pt idx="993">
                  <c:v>638.40045476391947</c:v>
                </c:pt>
                <c:pt idx="994">
                  <c:v>638.40045476391947</c:v>
                </c:pt>
                <c:pt idx="995">
                  <c:v>638.40045476391947</c:v>
                </c:pt>
                <c:pt idx="996">
                  <c:v>638.40045476391947</c:v>
                </c:pt>
                <c:pt idx="997">
                  <c:v>638.40045476391947</c:v>
                </c:pt>
                <c:pt idx="998">
                  <c:v>638.40045476391947</c:v>
                </c:pt>
                <c:pt idx="999">
                  <c:v>638.40045476391947</c:v>
                </c:pt>
                <c:pt idx="1000">
                  <c:v>638.40045476391947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2002.1392842809096</c:v>
                </c:pt>
                <c:pt idx="642">
                  <c:v>2002.615261569302</c:v>
                </c:pt>
                <c:pt idx="643">
                  <c:v>2002.9928313494229</c:v>
                </c:pt>
                <c:pt idx="644">
                  <c:v>2003.272061141043</c:v>
                </c:pt>
                <c:pt idx="645">
                  <c:v>2003.4530157473921</c:v>
                </c:pt>
                <c:pt idx="646">
                  <c:v>2003.535757896926</c:v>
                </c:pt>
                <c:pt idx="647">
                  <c:v>2003.5203489170669</c:v>
                </c:pt>
                <c:pt idx="648">
                  <c:v>2003.4068494294199</c:v>
                </c:pt>
                <c:pt idx="649">
                  <c:v>2003.19532005418</c:v>
                </c:pt>
                <c:pt idx="650">
                  <c:v>2002.8858221105345</c:v>
                </c:pt>
                <c:pt idx="651">
                  <c:v>2002.4784182999831</c:v>
                </c:pt>
                <c:pt idx="652">
                  <c:v>2001.9731733606257</c:v>
                </c:pt>
                <c:pt idx="653">
                  <c:v>2001.3701546824275</c:v>
                </c:pt>
                <c:pt idx="654">
                  <c:v>2000.6694328759665</c:v>
                </c:pt>
                <c:pt idx="655">
                  <c:v>1999.8710822898593</c:v>
                </c:pt>
                <c:pt idx="656">
                  <c:v>1998.9751814746569</c:v>
                </c:pt>
                <c:pt idx="657">
                  <c:v>1997.981813593248</c:v>
                </c:pt>
                <c:pt idx="658">
                  <c:v>1996.8910667795931</c:v>
                </c:pt>
                <c:pt idx="659">
                  <c:v>1995.703034448888</c:v>
                </c:pt>
                <c:pt idx="660">
                  <c:v>1994.4178155630543</c:v>
                </c:pt>
                <c:pt idx="661">
                  <c:v>1993.0355148558504</c:v>
                </c:pt>
                <c:pt idx="662">
                  <c:v>1991.5562430219852</c:v>
                </c:pt>
                <c:pt idx="663">
                  <c:v>1989.9801168744748</c:v>
                </c:pt>
                <c:pt idx="664">
                  <c:v>1988.3072594742109</c:v>
                </c:pt>
                <c:pt idx="665">
                  <c:v>1986.5378002353468</c:v>
                </c:pt>
                <c:pt idx="666">
                  <c:v>1984.6718750097193</c:v>
                </c:pt>
                <c:pt idx="667">
                  <c:v>1982.7096261531346</c:v>
                </c:pt>
                <c:pt idx="668">
                  <c:v>1980.6512025759723</c:v>
                </c:pt>
                <c:pt idx="669">
                  <c:v>1978.4967597802211</c:v>
                </c:pt>
                <c:pt idx="670">
                  <c:v>1976.2464598847562</c:v>
                </c:pt>
                <c:pt idx="671">
                  <c:v>1973.9004716404002</c:v>
                </c:pt>
                <c:pt idx="672">
                  <c:v>1971.4589704360742</c:v>
                </c:pt>
                <c:pt idx="673">
                  <c:v>1968.9221382971534</c:v>
                </c:pt>
                <c:pt idx="674">
                  <c:v>1966.290163876964</c:v>
                </c:pt>
                <c:pt idx="675">
                  <c:v>1963.5632424422213</c:v>
                </c:pt>
                <c:pt idx="676">
                  <c:v>1960.7415758530863</c:v>
                </c:pt>
                <c:pt idx="677">
                  <c:v>1957.8253725384145</c:v>
                </c:pt>
                <c:pt idx="678">
                  <c:v>1954.8148474666878</c:v>
                </c:pt>
                <c:pt idx="679">
                  <c:v>1951.7102221130463</c:v>
                </c:pt>
                <c:pt idx="680">
                  <c:v>1948.5117244227822</c:v>
                </c:pt>
                <c:pt idx="681">
                  <c:v>1945.2195887715998</c:v>
                </c:pt>
                <c:pt idx="682">
                  <c:v>1941.8340559229105</c:v>
                </c:pt>
                <c:pt idx="683">
                  <c:v>1938.3553729823936</c:v>
                </c:pt>
                <c:pt idx="684">
                  <c:v>1934.7837933500227</c:v>
                </c:pt>
                <c:pt idx="685">
                  <c:v>1931.119576669736</c:v>
                </c:pt>
                <c:pt idx="686">
                  <c:v>1927.3629887769039</c:v>
                </c:pt>
                <c:pt idx="687">
                  <c:v>1923.514301643733</c:v>
                </c:pt>
                <c:pt idx="688">
                  <c:v>1919.5737933227285</c:v>
                </c:pt>
                <c:pt idx="689">
                  <c:v>1915.5417478883253</c:v>
                </c:pt>
                <c:pt idx="690">
                  <c:v>1911.4184553767861</c:v>
                </c:pt>
                <c:pt idx="691">
                  <c:v>1907.2042117244589</c:v>
                </c:pt>
                <c:pt idx="692">
                  <c:v>1902.8993187044739</c:v>
                </c:pt>
                <c:pt idx="693">
                  <c:v>1898.5040838619575</c:v>
                </c:pt>
                <c:pt idx="694">
                  <c:v>1894.0188204478329</c:v>
                </c:pt>
                <c:pt idx="695">
                  <c:v>1889.4438473512732</c:v>
                </c:pt>
                <c:pt idx="696">
                  <c:v>1884.779489030868</c:v>
                </c:pt>
                <c:pt idx="697">
                  <c:v>1880.0260754445619</c:v>
                </c:pt>
                <c:pt idx="698">
                  <c:v>1875.1839419784192</c:v>
                </c:pt>
                <c:pt idx="699">
                  <c:v>1870.2534293742679</c:v>
                </c:pt>
                <c:pt idx="700">
                  <c:v>1865.2348836562724</c:v>
                </c:pt>
                <c:pt idx="701">
                  <c:v>1860.1286560564827</c:v>
                </c:pt>
                <c:pt idx="702">
                  <c:v>1854.9351029394077</c:v>
                </c:pt>
                <c:pt idx="703">
                  <c:v>1849.6545857256558</c:v>
                </c:pt>
                <c:pt idx="704">
                  <c:v>1844.2874708146885</c:v>
                </c:pt>
                <c:pt idx="705">
                  <c:v>1838.834129506728</c:v>
                </c:pt>
                <c:pt idx="706">
                  <c:v>1833.2949379238605</c:v>
                </c:pt>
                <c:pt idx="707">
                  <c:v>1827.6702769303761</c:v>
                </c:pt>
                <c:pt idx="708">
                  <c:v>1821.9605320523856</c:v>
                </c:pt>
                <c:pt idx="709">
                  <c:v>1816.166093396753</c:v>
                </c:pt>
                <c:pt idx="710">
                  <c:v>1810.2873555693811</c:v>
                </c:pt>
                <c:pt idx="711">
                  <c:v>1804.3247175928902</c:v>
                </c:pt>
                <c:pt idx="712">
                  <c:v>1798.2785828237259</c:v>
                </c:pt>
                <c:pt idx="713">
                  <c:v>1792.1493588687329</c:v>
                </c:pt>
                <c:pt idx="714">
                  <c:v>1785.9374575012321</c:v>
                </c:pt>
                <c:pt idx="715">
                  <c:v>1779.643294576636</c:v>
                </c:pt>
                <c:pt idx="716">
                  <c:v>1773.2672899476393</c:v>
                </c:pt>
                <c:pt idx="717">
                  <c:v>1766.8098673790178</c:v>
                </c:pt>
                <c:pt idx="718">
                  <c:v>1760.2714544620728</c:v>
                </c:pt>
                <c:pt idx="719">
                  <c:v>1753.6524825287538</c:v>
                </c:pt>
                <c:pt idx="720">
                  <c:v>1746.9533865654939</c:v>
                </c:pt>
                <c:pt idx="721">
                  <c:v>1740.1746051267924</c:v>
                </c:pt>
                <c:pt idx="722">
                  <c:v>1733.3165802485764</c:v>
                </c:pt>
                <c:pt idx="723">
                  <c:v>1726.3797573613767</c:v>
                </c:pt>
                <c:pt idx="724">
                  <c:v>1719.3645852033469</c:v>
                </c:pt>
                <c:pt idx="725">
                  <c:v>1712.2715157331627</c:v>
                </c:pt>
                <c:pt idx="726">
                  <c:v>1705.1010040428291</c:v>
                </c:pt>
                <c:pt idx="727">
                  <c:v>1697.8535082704298</c:v>
                </c:pt>
                <c:pt idx="728">
                  <c:v>1690.5294895128477</c:v>
                </c:pt>
                <c:pt idx="729">
                  <c:v>1683.1294117384891</c:v>
                </c:pt>
                <c:pt idx="730">
                  <c:v>1675.6537417000413</c:v>
                </c:pt>
                <c:pt idx="731">
                  <c:v>1668.1029488472925</c:v>
                </c:pt>
                <c:pt idx="732">
                  <c:v>1660.4775052400453</c:v>
                </c:pt>
                <c:pt idx="733">
                  <c:v>1652.777885461152</c:v>
                </c:pt>
                <c:pt idx="734">
                  <c:v>1645.0045665297002</c:v>
                </c:pt>
                <c:pt idx="735">
                  <c:v>1637.158027814377</c:v>
                </c:pt>
                <c:pt idx="736">
                  <c:v>1629.2387509470402</c:v>
                </c:pt>
                <c:pt idx="737">
                  <c:v>1621.2472197365234</c:v>
                </c:pt>
                <c:pt idx="738">
                  <c:v>1613.1839200827028</c:v>
                </c:pt>
                <c:pt idx="739">
                  <c:v>1605.0493398908495</c:v>
                </c:pt>
                <c:pt idx="740">
                  <c:v>1596.843968986298</c:v>
                </c:pt>
                <c:pt idx="741">
                  <c:v>1588.5682990294511</c:v>
                </c:pt>
                <c:pt idx="742">
                  <c:v>1580.2228234311503</c:v>
                </c:pt>
                <c:pt idx="743">
                  <c:v>1571.8080372684353</c:v>
                </c:pt>
                <c:pt idx="744">
                  <c:v>1563.3244372007143</c:v>
                </c:pt>
                <c:pt idx="745">
                  <c:v>1554.7725213863728</c:v>
                </c:pt>
                <c:pt idx="746">
                  <c:v>1546.1527893998395</c:v>
                </c:pt>
                <c:pt idx="747">
                  <c:v>1537.4657421491372</c:v>
                </c:pt>
                <c:pt idx="748">
                  <c:v>1528.711881793934</c:v>
                </c:pt>
                <c:pt idx="749">
                  <c:v>1519.8917116641235</c:v>
                </c:pt>
                <c:pt idx="750">
                  <c:v>1511.0057361789491</c:v>
                </c:pt>
                <c:pt idx="751">
                  <c:v>1502.0544607666966</c:v>
                </c:pt>
                <c:pt idx="752">
                  <c:v>1493.038391784974</c:v>
                </c:pt>
                <c:pt idx="753">
                  <c:v>1483.9580364415965</c:v>
                </c:pt>
                <c:pt idx="754">
                  <c:v>1474.8139027160983</c:v>
                </c:pt>
                <c:pt idx="755">
                  <c:v>1465.6064992818874</c:v>
                </c:pt>
                <c:pt idx="756">
                  <c:v>1456.3363354290618</c:v>
                </c:pt>
                <c:pt idx="757">
                  <c:v>1447.0039209879053</c:v>
                </c:pt>
                <c:pt idx="758">
                  <c:v>1437.6097662530779</c:v>
                </c:pt>
                <c:pt idx="759">
                  <c:v>1428.1543819085182</c:v>
                </c:pt>
                <c:pt idx="760">
                  <c:v>1418.6382789530742</c:v>
                </c:pt>
                <c:pt idx="761">
                  <c:v>1409.0619686268749</c:v>
                </c:pt>
                <c:pt idx="762">
                  <c:v>1399.4259623384605</c:v>
                </c:pt>
                <c:pt idx="763">
                  <c:v>1389.7307715926825</c:v>
                </c:pt>
                <c:pt idx="764">
                  <c:v>1379.9769079193893</c:v>
                </c:pt>
                <c:pt idx="765">
                  <c:v>1370.1648828029088</c:v>
                </c:pt>
                <c:pt idx="766">
                  <c:v>1360.2952076123406</c:v>
                </c:pt>
                <c:pt idx="767">
                  <c:v>1350.368393532671</c:v>
                </c:pt>
                <c:pt idx="768">
                  <c:v>1340.3849514967196</c:v>
                </c:pt>
                <c:pt idx="769">
                  <c:v>1330.3453921179314</c:v>
                </c:pt>
                <c:pt idx="770">
                  <c:v>1320.2502256240211</c:v>
                </c:pt>
                <c:pt idx="771">
                  <c:v>1310.0999617914833</c:v>
                </c:pt>
                <c:pt idx="772">
                  <c:v>1299.8951098809741</c:v>
                </c:pt>
                <c:pt idx="773">
                  <c:v>1289.6361785735753</c:v>
                </c:pt>
                <c:pt idx="774">
                  <c:v>1279.3236759079484</c:v>
                </c:pt>
                <c:pt idx="775">
                  <c:v>1268.9581092183862</c:v>
                </c:pt>
                <c:pt idx="776">
                  <c:v>1258.5399850737683</c:v>
                </c:pt>
                <c:pt idx="777">
                  <c:v>1248.0698092174302</c:v>
                </c:pt>
                <c:pt idx="778">
                  <c:v>1237.5480865079473</c:v>
                </c:pt>
                <c:pt idx="779">
                  <c:v>1226.9753208608438</c:v>
                </c:pt>
                <c:pt idx="780">
                  <c:v>1216.3520151912298</c:v>
                </c:pt>
                <c:pt idx="781">
                  <c:v>1205.6786713573715</c:v>
                </c:pt>
                <c:pt idx="782">
                  <c:v>1194.955790105198</c:v>
                </c:pt>
                <c:pt idx="783">
                  <c:v>1184.1838710137506</c:v>
                </c:pt>
                <c:pt idx="784">
                  <c:v>1173.3634124415751</c:v>
                </c:pt>
                <c:pt idx="785">
                  <c:v>1162.4949114740627</c:v>
                </c:pt>
                <c:pt idx="786">
                  <c:v>1151.5788638717404</c:v>
                </c:pt>
                <c:pt idx="787">
                  <c:v>1140.6157640195113</c:v>
                </c:pt>
                <c:pt idx="788">
                  <c:v>1129.6061048768513</c:v>
                </c:pt>
                <c:pt idx="789">
                  <c:v>1118.550377928957</c:v>
                </c:pt>
                <c:pt idx="790">
                  <c:v>1107.4490731388507</c:v>
                </c:pt>
                <c:pt idx="791">
                  <c:v>1096.3026789004398</c:v>
                </c:pt>
                <c:pt idx="792">
                  <c:v>1085.1116819925312</c:v>
                </c:pt>
                <c:pt idx="793">
                  <c:v>1073.8765675338011</c:v>
                </c:pt>
                <c:pt idx="794">
                  <c:v>1062.5978189387179</c:v>
                </c:pt>
                <c:pt idx="795">
                  <c:v>1051.2759178744179</c:v>
                </c:pt>
                <c:pt idx="796">
                  <c:v>1039.9113442185314</c:v>
                </c:pt>
                <c:pt idx="797">
                  <c:v>1028.5045760179585</c:v>
                </c:pt>
                <c:pt idx="798">
                  <c:v>1017.0560894485898</c:v>
                </c:pt>
                <c:pt idx="799">
                  <c:v>1005.5663587759723</c:v>
                </c:pt>
                <c:pt idx="800">
                  <c:v>994.0358563169151</c:v>
                </c:pt>
                <c:pt idx="801">
                  <c:v>982.4650524020326</c:v>
                </c:pt>
                <c:pt idx="802">
                  <c:v>970.85441533922096</c:v>
                </c:pt>
                <c:pt idx="803">
                  <c:v>959.20441137806461</c:v>
                </c:pt>
                <c:pt idx="804">
                  <c:v>947.51550467516734</c:v>
                </c:pt>
                <c:pt idx="805">
                  <c:v>935.78815726040432</c:v>
                </c:pt>
                <c:pt idx="806">
                  <c:v>924.02282900408977</c:v>
                </c:pt>
                <c:pt idx="807">
                  <c:v>912.21997758505472</c:v>
                </c:pt>
                <c:pt idx="808">
                  <c:v>900.38005845963039</c:v>
                </c:pt>
                <c:pt idx="809">
                  <c:v>888.50352483153017</c:v>
                </c:pt>
                <c:pt idx="810">
                  <c:v>876.5908276226254</c:v>
                </c:pt>
                <c:pt idx="811">
                  <c:v>864.64241544460788</c:v>
                </c:pt>
                <c:pt idx="812">
                  <c:v>852.65873457153316</c:v>
                </c:pt>
                <c:pt idx="813">
                  <c:v>840.64022891323782</c:v>
                </c:pt>
                <c:pt idx="814">
                  <c:v>828.58733998962362</c:v>
                </c:pt>
                <c:pt idx="815">
                  <c:v>816.50050690580144</c:v>
                </c:pt>
                <c:pt idx="816">
                  <c:v>804.38016632808819</c:v>
                </c:pt>
                <c:pt idx="817">
                  <c:v>792.22675246084827</c:v>
                </c:pt>
                <c:pt idx="818">
                  <c:v>780.04069702417269</c:v>
                </c:pt>
                <c:pt idx="819">
                  <c:v>767.82242923238732</c:v>
                </c:pt>
                <c:pt idx="820">
                  <c:v>755.57237577338321</c:v>
                </c:pt>
                <c:pt idx="821">
                  <c:v>743.29096078875898</c:v>
                </c:pt>
                <c:pt idx="822">
                  <c:v>730.97860585476906</c:v>
                </c:pt>
                <c:pt idx="823">
                  <c:v>718.63572996406731</c:v>
                </c:pt>
                <c:pt idx="824">
                  <c:v>706.26274950823881</c:v>
                </c:pt>
                <c:pt idx="825">
                  <c:v>693.86007826111029</c:v>
                </c:pt>
                <c:pt idx="826">
                  <c:v>681.42812736283008</c:v>
                </c:pt>
                <c:pt idx="827">
                  <c:v>668.96730530470893</c:v>
                </c:pt>
                <c:pt idx="828">
                  <c:v>656.47801791481299</c:v>
                </c:pt>
                <c:pt idx="829">
                  <c:v>643.96066834429826</c:v>
                </c:pt>
                <c:pt idx="830">
                  <c:v>631.41565705447874</c:v>
                </c:pt>
                <c:pt idx="831">
                  <c:v>618.84338180461771</c:v>
                </c:pt>
                <c:pt idx="832">
                  <c:v>606.2442376404332</c:v>
                </c:pt>
                <c:pt idx="833">
                  <c:v>593.61861688330771</c:v>
                </c:pt>
                <c:pt idx="834">
                  <c:v>580.96690912019255</c:v>
                </c:pt>
                <c:pt idx="835">
                  <c:v>568.28950119419733</c:v>
                </c:pt>
                <c:pt idx="836">
                  <c:v>555.58677719585432</c:v>
                </c:pt>
                <c:pt idx="837">
                  <c:v>542.85911845504813</c:v>
                </c:pt>
                <c:pt idx="838">
                  <c:v>530.10690353360076</c:v>
                </c:pt>
                <c:pt idx="839">
                  <c:v>517.33050821850213</c:v>
                </c:pt>
                <c:pt idx="840">
                  <c:v>504.53030551577569</c:v>
                </c:pt>
                <c:pt idx="841">
                  <c:v>491.7066656449698</c:v>
                </c:pt>
                <c:pt idx="842">
                  <c:v>478.85995603426403</c:v>
                </c:pt>
                <c:pt idx="843">
                  <c:v>465.99054131618112</c:v>
                </c:pt>
                <c:pt idx="844">
                  <c:v>453.09878332389405</c:v>
                </c:pt>
                <c:pt idx="845">
                  <c:v>440.18504108811806</c:v>
                </c:pt>
                <c:pt idx="846">
                  <c:v>427.24967083457796</c:v>
                </c:pt>
                <c:pt idx="847">
                  <c:v>414.29302598204026</c:v>
                </c:pt>
                <c:pt idx="848">
                  <c:v>401.31545714090038</c:v>
                </c:pt>
                <c:pt idx="849">
                  <c:v>388.31731211231454</c:v>
                </c:pt>
                <c:pt idx="850">
                  <c:v>375.29893588786655</c:v>
                </c:pt>
                <c:pt idx="851">
                  <c:v>362.26067064975933</c:v>
                </c:pt>
                <c:pt idx="852">
                  <c:v>349.20285577152134</c:v>
                </c:pt>
                <c:pt idx="853">
                  <c:v>336.12582781921776</c:v>
                </c:pt>
                <c:pt idx="854">
                  <c:v>323.02992055315639</c:v>
                </c:pt>
                <c:pt idx="855">
                  <c:v>309.91546493007883</c:v>
                </c:pt>
                <c:pt idx="856">
                  <c:v>296.78278910582662</c:v>
                </c:pt>
                <c:pt idx="857">
                  <c:v>283.63221843847282</c:v>
                </c:pt>
                <c:pt idx="858">
                  <c:v>270.46407549190883</c:v>
                </c:pt>
                <c:pt idx="859">
                  <c:v>257.27868003987737</c:v>
                </c:pt>
                <c:pt idx="860">
                  <c:v>244.07634907044164</c:v>
                </c:pt>
                <c:pt idx="861">
                  <c:v>230.85739679088064</c:v>
                </c:pt>
                <c:pt idx="862">
                  <c:v>217.62213463300199</c:v>
                </c:pt>
                <c:pt idx="863">
                  <c:v>204.370871258862</c:v>
                </c:pt>
                <c:pt idx="864">
                  <c:v>191.10391256688396</c:v>
                </c:pt>
                <c:pt idx="865">
                  <c:v>177.82156169836514</c:v>
                </c:pt>
                <c:pt idx="866">
                  <c:v>164.52411904436343</c:v>
                </c:pt>
                <c:pt idx="867">
                  <c:v>151.21188225295407</c:v>
                </c:pt>
                <c:pt idx="868">
                  <c:v>137.8851462368477</c:v>
                </c:pt>
                <c:pt idx="869">
                  <c:v>124.54420318136053</c:v>
                </c:pt>
                <c:pt idx="870">
                  <c:v>111.18934255272758</c:v>
                </c:pt>
                <c:pt idx="871">
                  <c:v>97.820851106750254</c:v>
                </c:pt>
                <c:pt idx="872">
                  <c:v>84.439012897769345</c:v>
                </c:pt>
                <c:pt idx="873">
                  <c:v>71.044109287954825</c:v>
                </c:pt>
                <c:pt idx="874">
                  <c:v>57.636418956903725</c:v>
                </c:pt>
                <c:pt idx="875">
                  <c:v>44.216217911537612</c:v>
                </c:pt>
                <c:pt idx="876">
                  <c:v>30.78377949629121</c:v>
                </c:pt>
                <c:pt idx="877">
                  <c:v>17.339374403583818</c:v>
                </c:pt>
                <c:pt idx="878">
                  <c:v>3.8832706845652005</c:v>
                </c:pt>
                <c:pt idx="879">
                  <c:v>-9.5842662398721146</c:v>
                </c:pt>
                <c:pt idx="880">
                  <c:v>-9.5977394328919523</c:v>
                </c:pt>
                <c:pt idx="881">
                  <c:v>-9.6112126369513167</c:v>
                </c:pt>
                <c:pt idx="882">
                  <c:v>-9.6246858520499483</c:v>
                </c:pt>
                <c:pt idx="883">
                  <c:v>-9.6381590781875897</c:v>
                </c:pt>
                <c:pt idx="884">
                  <c:v>-9.6516323153639831</c:v>
                </c:pt>
                <c:pt idx="885">
                  <c:v>-9.6651055635788676</c:v>
                </c:pt>
                <c:pt idx="886">
                  <c:v>-9.6785788228319873</c:v>
                </c:pt>
                <c:pt idx="887">
                  <c:v>-9.6920520931230829</c:v>
                </c:pt>
                <c:pt idx="888">
                  <c:v>-9.705525374451895</c:v>
                </c:pt>
                <c:pt idx="889">
                  <c:v>-9.718998666818166</c:v>
                </c:pt>
                <c:pt idx="890">
                  <c:v>-9.7324719702216367</c:v>
                </c:pt>
                <c:pt idx="891">
                  <c:v>-9.7459452846620493</c:v>
                </c:pt>
                <c:pt idx="892">
                  <c:v>-9.7594186101391447</c:v>
                </c:pt>
                <c:pt idx="893">
                  <c:v>-9.7728919466526651</c:v>
                </c:pt>
                <c:pt idx="894">
                  <c:v>-9.7863652942023514</c:v>
                </c:pt>
                <c:pt idx="895">
                  <c:v>-9.7998386527879457</c:v>
                </c:pt>
                <c:pt idx="896">
                  <c:v>-9.813312022409189</c:v>
                </c:pt>
                <c:pt idx="897">
                  <c:v>-9.8267854030658235</c:v>
                </c:pt>
                <c:pt idx="898">
                  <c:v>-9.8402587947575899</c:v>
                </c:pt>
                <c:pt idx="899">
                  <c:v>-9.8537321974842307</c:v>
                </c:pt>
                <c:pt idx="900">
                  <c:v>-9.8672056112454865</c:v>
                </c:pt>
                <c:pt idx="901">
                  <c:v>-9.8806790360410979</c:v>
                </c:pt>
                <c:pt idx="902">
                  <c:v>-9.8941524718708092</c:v>
                </c:pt>
                <c:pt idx="903">
                  <c:v>-9.9076259187343592</c:v>
                </c:pt>
                <c:pt idx="904">
                  <c:v>-9.9210993766314903</c:v>
                </c:pt>
                <c:pt idx="905">
                  <c:v>-9.9345728455619451</c:v>
                </c:pt>
                <c:pt idx="906">
                  <c:v>-9.9480463255254641</c:v>
                </c:pt>
                <c:pt idx="907">
                  <c:v>-9.9615198165217897</c:v>
                </c:pt>
                <c:pt idx="908">
                  <c:v>-9.9749933185506627</c:v>
                </c:pt>
                <c:pt idx="909">
                  <c:v>-9.9884668316118255</c:v>
                </c:pt>
                <c:pt idx="910">
                  <c:v>-10.001940355705019</c:v>
                </c:pt>
                <c:pt idx="911">
                  <c:v>-10.015413890829985</c:v>
                </c:pt>
                <c:pt idx="912">
                  <c:v>-10.028887436986464</c:v>
                </c:pt>
                <c:pt idx="913">
                  <c:v>-10.042360994174199</c:v>
                </c:pt>
                <c:pt idx="914">
                  <c:v>-10.055834562392931</c:v>
                </c:pt>
                <c:pt idx="915">
                  <c:v>-10.069308141642402</c:v>
                </c:pt>
                <c:pt idx="916">
                  <c:v>-10.082781731922353</c:v>
                </c:pt>
                <c:pt idx="917">
                  <c:v>-10.096255333232525</c:v>
                </c:pt>
                <c:pt idx="918">
                  <c:v>-10.109728945572662</c:v>
                </c:pt>
                <c:pt idx="919">
                  <c:v>-10.123202568942503</c:v>
                </c:pt>
                <c:pt idx="920">
                  <c:v>-10.136676203341791</c:v>
                </c:pt>
                <c:pt idx="921">
                  <c:v>-10.150149848770267</c:v>
                </c:pt>
                <c:pt idx="922">
                  <c:v>-10.163623505227672</c:v>
                </c:pt>
                <c:pt idx="923">
                  <c:v>-10.177097172713749</c:v>
                </c:pt>
                <c:pt idx="924">
                  <c:v>-10.190570851228239</c:v>
                </c:pt>
                <c:pt idx="925">
                  <c:v>-10.204044540770884</c:v>
                </c:pt>
                <c:pt idx="926">
                  <c:v>-10.217518241341425</c:v>
                </c:pt>
                <c:pt idx="927">
                  <c:v>-10.230991952939604</c:v>
                </c:pt>
                <c:pt idx="928">
                  <c:v>-10.244465675565161</c:v>
                </c:pt>
                <c:pt idx="929">
                  <c:v>-10.25793940921784</c:v>
                </c:pt>
                <c:pt idx="930">
                  <c:v>-10.271413153897381</c:v>
                </c:pt>
                <c:pt idx="931">
                  <c:v>-10.284886909603527</c:v>
                </c:pt>
                <c:pt idx="932">
                  <c:v>-10.298360676336017</c:v>
                </c:pt>
                <c:pt idx="933">
                  <c:v>-10.311834454094596</c:v>
                </c:pt>
                <c:pt idx="934">
                  <c:v>-10.325308242879004</c:v>
                </c:pt>
                <c:pt idx="935">
                  <c:v>-10.338782042688981</c:v>
                </c:pt>
                <c:pt idx="936">
                  <c:v>-10.352255853524271</c:v>
                </c:pt>
                <c:pt idx="937">
                  <c:v>-10.365729675384616</c:v>
                </c:pt>
                <c:pt idx="938">
                  <c:v>-10.379203508269756</c:v>
                </c:pt>
                <c:pt idx="939">
                  <c:v>-10.392677352179433</c:v>
                </c:pt>
                <c:pt idx="940">
                  <c:v>-10.406151207113389</c:v>
                </c:pt>
                <c:pt idx="941">
                  <c:v>-10.419625073071366</c:v>
                </c:pt>
                <c:pt idx="942">
                  <c:v>-10.433098950053104</c:v>
                </c:pt>
                <c:pt idx="943">
                  <c:v>-10.446572838058346</c:v>
                </c:pt>
                <c:pt idx="944">
                  <c:v>-10.460046737086833</c:v>
                </c:pt>
                <c:pt idx="945">
                  <c:v>-10.473520647138306</c:v>
                </c:pt>
                <c:pt idx="946">
                  <c:v>-10.486994568212509</c:v>
                </c:pt>
                <c:pt idx="947">
                  <c:v>-10.500468500309182</c:v>
                </c:pt>
                <c:pt idx="948">
                  <c:v>-10.513942443428068</c:v>
                </c:pt>
                <c:pt idx="949">
                  <c:v>-10.527416397568906</c:v>
                </c:pt>
                <c:pt idx="950">
                  <c:v>-10.540890362731441</c:v>
                </c:pt>
                <c:pt idx="951">
                  <c:v>-10.554364338915411</c:v>
                </c:pt>
                <c:pt idx="952">
                  <c:v>-10.56783832612056</c:v>
                </c:pt>
                <c:pt idx="953">
                  <c:v>-10.58131232434663</c:v>
                </c:pt>
                <c:pt idx="954">
                  <c:v>-10.594786333593362</c:v>
                </c:pt>
                <c:pt idx="955">
                  <c:v>-10.608260353860498</c:v>
                </c:pt>
                <c:pt idx="956">
                  <c:v>-10.621734385147779</c:v>
                </c:pt>
                <c:pt idx="957">
                  <c:v>-10.635208427454947</c:v>
                </c:pt>
                <c:pt idx="958">
                  <c:v>-10.648682480781744</c:v>
                </c:pt>
                <c:pt idx="959">
                  <c:v>-10.662156545127912</c:v>
                </c:pt>
                <c:pt idx="960">
                  <c:v>-10.675630620493191</c:v>
                </c:pt>
                <c:pt idx="961">
                  <c:v>-10.689104706877323</c:v>
                </c:pt>
                <c:pt idx="962">
                  <c:v>-10.702578804280051</c:v>
                </c:pt>
                <c:pt idx="963">
                  <c:v>-10.716052912701118</c:v>
                </c:pt>
                <c:pt idx="964">
                  <c:v>-10.729527032140263</c:v>
                </c:pt>
                <c:pt idx="965">
                  <c:v>-10.743001162597228</c:v>
                </c:pt>
                <c:pt idx="966">
                  <c:v>-10.756475304071754</c:v>
                </c:pt>
                <c:pt idx="967">
                  <c:v>-10.769949456563586</c:v>
                </c:pt>
                <c:pt idx="968">
                  <c:v>-10.783423620072462</c:v>
                </c:pt>
                <c:pt idx="969">
                  <c:v>-10.796897794598125</c:v>
                </c:pt>
                <c:pt idx="970">
                  <c:v>-10.810371980140319</c:v>
                </c:pt>
                <c:pt idx="971">
                  <c:v>-10.823846176698783</c:v>
                </c:pt>
                <c:pt idx="972">
                  <c:v>-10.83732038427326</c:v>
                </c:pt>
                <c:pt idx="973">
                  <c:v>-10.850794602863491</c:v>
                </c:pt>
                <c:pt idx="974">
                  <c:v>-10.864268832469218</c:v>
                </c:pt>
                <c:pt idx="975">
                  <c:v>-10.877743073090183</c:v>
                </c:pt>
                <c:pt idx="976">
                  <c:v>-10.891217324726128</c:v>
                </c:pt>
                <c:pt idx="977">
                  <c:v>-10.904691587376794</c:v>
                </c:pt>
                <c:pt idx="978">
                  <c:v>-10.918165861041922</c:v>
                </c:pt>
                <c:pt idx="979">
                  <c:v>-10.931640145721255</c:v>
                </c:pt>
                <c:pt idx="980">
                  <c:v>-10.945114441414535</c:v>
                </c:pt>
                <c:pt idx="981">
                  <c:v>-10.958588748121503</c:v>
                </c:pt>
                <c:pt idx="982">
                  <c:v>-10.972063065841901</c:v>
                </c:pt>
                <c:pt idx="983">
                  <c:v>-10.98553739457547</c:v>
                </c:pt>
                <c:pt idx="984">
                  <c:v>-10.999011734321952</c:v>
                </c:pt>
                <c:pt idx="985">
                  <c:v>-11.01248608508109</c:v>
                </c:pt>
                <c:pt idx="986">
                  <c:v>-11.025960446852624</c:v>
                </c:pt>
                <c:pt idx="987">
                  <c:v>-11.039434819636297</c:v>
                </c:pt>
                <c:pt idx="988">
                  <c:v>-11.052909203431849</c:v>
                </c:pt>
                <c:pt idx="989">
                  <c:v>-11.066383598239025</c:v>
                </c:pt>
                <c:pt idx="990">
                  <c:v>-11.079858004057563</c:v>
                </c:pt>
                <c:pt idx="991">
                  <c:v>-11.093332420887208</c:v>
                </c:pt>
                <c:pt idx="992">
                  <c:v>-11.1068068487277</c:v>
                </c:pt>
                <c:pt idx="993">
                  <c:v>-11.120281287578782</c:v>
                </c:pt>
                <c:pt idx="994">
                  <c:v>-11.133755737440195</c:v>
                </c:pt>
                <c:pt idx="995">
                  <c:v>-11.14723019831168</c:v>
                </c:pt>
                <c:pt idx="996">
                  <c:v>-11.160704670192981</c:v>
                </c:pt>
                <c:pt idx="997">
                  <c:v>-11.174179153083838</c:v>
                </c:pt>
                <c:pt idx="998">
                  <c:v>-11.187653646983993</c:v>
                </c:pt>
                <c:pt idx="999">
                  <c:v>-11.201128151893187</c:v>
                </c:pt>
                <c:pt idx="1000">
                  <c:v>-11.214602667811162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3B-6442-AFEC-07E56791BA28}"/>
            </c:ext>
          </c:extLst>
        </c:ser>
        <c:ser>
          <c:idx val="4"/>
          <c:order val="3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Trajecto!$B$140:$B$146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Trajecto!$C$138:$C$144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3B-6442-AFEC-07E56791BA28}"/>
            </c:ext>
          </c:extLst>
        </c:ser>
        <c:ser>
          <c:idx val="5"/>
          <c:order val="4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3.2199094759923535E-5</c:v>
                </c:pt>
                <c:pt idx="2">
                  <c:v>2.1130532509346415E-4</c:v>
                </c:pt>
                <c:pt idx="3">
                  <c:v>6.540739961863524E-4</c:v>
                </c:pt>
                <c:pt idx="4">
                  <c:v>1.4290213695358658E-3</c:v>
                </c:pt>
                <c:pt idx="5">
                  <c:v>2.6047145707411034E-3</c:v>
                </c:pt>
                <c:pt idx="6">
                  <c:v>4.2497790892093677E-3</c:v>
                </c:pt>
                <c:pt idx="7">
                  <c:v>6.4329061678809136E-3</c:v>
                </c:pt>
                <c:pt idx="8">
                  <c:v>9.2228600852004659E-3</c:v>
                </c:pt>
                <c:pt idx="9">
                  <c:v>1.2688485331438107E-2</c:v>
                </c:pt>
                <c:pt idx="10">
                  <c:v>1.689871368133937E-2</c:v>
                </c:pt>
                <c:pt idx="11">
                  <c:v>2.1902866108771839E-2</c:v>
                </c:pt>
                <c:pt idx="12">
                  <c:v>2.7710911850952643E-2</c:v>
                </c:pt>
                <c:pt idx="13">
                  <c:v>3.4312964282020145E-2</c:v>
                </c:pt>
                <c:pt idx="14">
                  <c:v>4.1698816020665795E-2</c:v>
                </c:pt>
                <c:pt idx="15">
                  <c:v>4.985808892105982E-2</c:v>
                </c:pt>
                <c:pt idx="16">
                  <c:v>5.8780384365414995E-2</c:v>
                </c:pt>
                <c:pt idx="17">
                  <c:v>6.8455283655367585E-2</c:v>
                </c:pt>
                <c:pt idx="18">
                  <c:v>7.8872348402383066E-2</c:v>
                </c:pt>
                <c:pt idx="19">
                  <c:v>9.0021120917124192E-2</c:v>
                </c:pt>
                <c:pt idx="20">
                  <c:v>0.10189112459771937</c:v>
                </c:pt>
                <c:pt idx="21">
                  <c:v>0.11447186431686993</c:v>
                </c:pt>
                <c:pt idx="22">
                  <c:v>0.12775282680773567</c:v>
                </c:pt>
                <c:pt idx="23">
                  <c:v>0.14172348104853855</c:v>
                </c:pt>
                <c:pt idx="24">
                  <c:v>0.15637327864582479</c:v>
                </c:pt>
                <c:pt idx="25">
                  <c:v>0.17169165421632704</c:v>
                </c:pt>
                <c:pt idx="26">
                  <c:v>0.18766802576736791</c:v>
                </c:pt>
                <c:pt idx="27">
                  <c:v>0.20429444169256411</c:v>
                </c:pt>
                <c:pt idx="28">
                  <c:v>0.22156823173329301</c:v>
                </c:pt>
                <c:pt idx="29">
                  <c:v>0.23948936634624024</c:v>
                </c:pt>
                <c:pt idx="30">
                  <c:v>0.25805781191362032</c:v>
                </c:pt>
                <c:pt idx="31">
                  <c:v>0.27727353073976652</c:v>
                </c:pt>
                <c:pt idx="32">
                  <c:v>0.29713648104783591</c:v>
                </c:pt>
                <c:pt idx="33">
                  <c:v>0.31764661697663005</c:v>
                </c:pt>
                <c:pt idx="34">
                  <c:v>0.33880388857753163</c:v>
                </c:pt>
                <c:pt idx="35">
                  <c:v>0.36060824181155726</c:v>
                </c:pt>
                <c:pt idx="36">
                  <c:v>0.38310222374120001</c:v>
                </c:pt>
                <c:pt idx="37">
                  <c:v>0.40632972650622212</c:v>
                </c:pt>
                <c:pt idx="38">
                  <c:v>0.43029336870816365</c:v>
                </c:pt>
                <c:pt idx="39">
                  <c:v>0.45499571994781773</c:v>
                </c:pt>
                <c:pt idx="40">
                  <c:v>0.48043928427685384</c:v>
                </c:pt>
                <c:pt idx="41">
                  <c:v>0.50662650311857726</c:v>
                </c:pt>
                <c:pt idx="42">
                  <c:v>0.53355975797635569</c:v>
                </c:pt>
                <c:pt idx="43">
                  <c:v>0.56124137294995491</c:v>
                </c:pt>
                <c:pt idx="44">
                  <c:v>0.58967361707765753</c:v>
                </c:pt>
                <c:pt idx="45">
                  <c:v>0.61885870651999697</c:v>
                </c:pt>
                <c:pt idx="46">
                  <c:v>0.64879880659917333</c:v>
                </c:pt>
                <c:pt idx="47">
                  <c:v>0.67949603370668321</c:v>
                </c:pt>
                <c:pt idx="48">
                  <c:v>0.71095245709035693</c:v>
                </c:pt>
                <c:pt idx="49">
                  <c:v>0.74317010053083021</c:v>
                </c:pt>
                <c:pt idx="50">
                  <c:v>0.77615094391644979</c:v>
                </c:pt>
                <c:pt idx="51">
                  <c:v>0.80989692472471453</c:v>
                </c:pt>
                <c:pt idx="52">
                  <c:v>0.84440993941755504</c:v>
                </c:pt>
                <c:pt idx="53">
                  <c:v>0.8796918447570562</c:v>
                </c:pt>
                <c:pt idx="54">
                  <c:v>0.91574445904760093</c:v>
                </c:pt>
                <c:pt idx="55">
                  <c:v>0.95256956330986331</c:v>
                </c:pt>
                <c:pt idx="56">
                  <c:v>0.99016890239158339</c:v>
                </c:pt>
                <c:pt idx="57">
                  <c:v>1.0285441860196192</c:v>
                </c:pt>
                <c:pt idx="58">
                  <c:v>1.0676970897973757</c:v>
                </c:pt>
                <c:pt idx="59">
                  <c:v>1.1076292561513594</c:v>
                </c:pt>
                <c:pt idx="60">
                  <c:v>1.1483422952302891</c:v>
                </c:pt>
                <c:pt idx="61">
                  <c:v>1.1898377857599103</c:v>
                </c:pt>
                <c:pt idx="62">
                  <c:v>1.2321172758564016</c:v>
                </c:pt>
                <c:pt idx="63">
                  <c:v>1.2751822838010314</c:v>
                </c:pt>
                <c:pt idx="64">
                  <c:v>1.3190342987785095</c:v>
                </c:pt>
                <c:pt idx="65">
                  <c:v>1.3636747815812957</c:v>
                </c:pt>
                <c:pt idx="66">
                  <c:v>1.4091051652819433</c:v>
                </c:pt>
                <c:pt idx="67">
                  <c:v>1.4553268558754098</c:v>
                </c:pt>
                <c:pt idx="68">
                  <c:v>1.5023412328931154</c:v>
                </c:pt>
                <c:pt idx="69">
                  <c:v>1.5501496499904051</c:v>
                </c:pt>
                <c:pt idx="70">
                  <c:v>1.5987534355089477</c:v>
                </c:pt>
                <c:pt idx="71">
                  <c:v>1.6481538930154982</c:v>
                </c:pt>
                <c:pt idx="72">
                  <c:v>1.6983522686137009</c:v>
                </c:pt>
                <c:pt idx="73">
                  <c:v>1.749349718010007</c:v>
                </c:pt>
                <c:pt idx="74">
                  <c:v>1.8011473399003297</c:v>
                </c:pt>
                <c:pt idx="75">
                  <c:v>1.8537462095696</c:v>
                </c:pt>
                <c:pt idx="76">
                  <c:v>1.9071473793441465</c:v>
                </c:pt>
                <c:pt idx="77">
                  <c:v>1.9613518790266637</c:v>
                </c:pt>
                <c:pt idx="78">
                  <c:v>2.0163607163146819</c:v>
                </c:pt>
                <c:pt idx="79">
                  <c:v>2.0721748772033806</c:v>
                </c:pt>
                <c:pt idx="80">
                  <c:v>2.1287953263735471</c:v>
                </c:pt>
                <c:pt idx="81">
                  <c:v>2.1862230075654243</c:v>
                </c:pt>
                <c:pt idx="82">
                  <c:v>2.2444588439391437</c:v>
                </c:pt>
                <c:pt idx="83">
                  <c:v>2.303503738422406</c:v>
                </c:pt>
                <c:pt idx="84">
                  <c:v>2.3633585740460252</c:v>
                </c:pt>
                <c:pt idx="85">
                  <c:v>2.4240242142679178</c:v>
                </c:pt>
                <c:pt idx="86">
                  <c:v>2.4855015032860819</c:v>
                </c:pt>
                <c:pt idx="87">
                  <c:v>2.5477912663410853</c:v>
                </c:pt>
                <c:pt idx="88">
                  <c:v>2.6108943100085478</c:v>
                </c:pt>
                <c:pt idx="89">
                  <c:v>2.6748114224820716</c:v>
                </c:pt>
                <c:pt idx="90">
                  <c:v>2.7395433738470607</c:v>
                </c:pt>
                <c:pt idx="91">
                  <c:v>2.8050909163458293</c:v>
                </c:pt>
                <c:pt idx="92">
                  <c:v>2.8714547846343943</c:v>
                </c:pt>
                <c:pt idx="93">
                  <c:v>2.9386356960313096</c:v>
                </c:pt>
                <c:pt idx="94">
                  <c:v>3.0066343507588944</c:v>
                </c:pt>
                <c:pt idx="95">
                  <c:v>3.0754514321771786</c:v>
                </c:pt>
                <c:pt idx="96">
                  <c:v>3.14508760701088</c:v>
                </c:pt>
                <c:pt idx="97">
                  <c:v>3.215543525569704</c:v>
                </c:pt>
                <c:pt idx="98">
                  <c:v>3.2868198219622475</c:v>
                </c:pt>
                <c:pt idx="99">
                  <c:v>3.3589171143037708</c:v>
                </c:pt>
                <c:pt idx="100">
                  <c:v>3.4318360049180918</c:v>
                </c:pt>
                <c:pt idx="101">
                  <c:v>3.5055770805338367</c:v>
                </c:pt>
                <c:pt idx="102">
                  <c:v>3.5801409124752803</c:v>
                </c:pt>
                <c:pt idx="103">
                  <c:v>3.6555280568479906</c:v>
                </c:pt>
                <c:pt idx="104">
                  <c:v>3.7317390547194806</c:v>
                </c:pt>
                <c:pt idx="105">
                  <c:v>3.8087744322950674</c:v>
                </c:pt>
                <c:pt idx="106">
                  <c:v>3.8866347010891227</c:v>
                </c:pt>
                <c:pt idx="107">
                  <c:v>3.9653203580918963</c:v>
                </c:pt>
                <c:pt idx="108">
                  <c:v>4.0448318859320764</c:v>
                </c:pt>
                <c:pt idx="109">
                  <c:v>4.1251697530352551</c:v>
                </c:pt>
                <c:pt idx="110">
                  <c:v>4.2063344137784489</c:v>
                </c:pt>
                <c:pt idx="111">
                  <c:v>4.2883263086408228</c:v>
                </c:pt>
                <c:pt idx="112">
                  <c:v>4.3711458643507646</c:v>
                </c:pt>
                <c:pt idx="113">
                  <c:v>4.4547934940294311</c:v>
                </c:pt>
                <c:pt idx="114">
                  <c:v>4.5392695973309101</c:v>
                </c:pt>
                <c:pt idx="115">
                  <c:v>4.6245745605791093</c:v>
                </c:pt>
                <c:pt idx="116">
                  <c:v>4.7107087569014965</c:v>
                </c:pt>
                <c:pt idx="117">
                  <c:v>4.7976725463598031</c:v>
                </c:pt>
                <c:pt idx="118">
                  <c:v>4.8854662760777954</c:v>
                </c:pt>
                <c:pt idx="119">
                  <c:v>4.9740902803662204</c:v>
                </c:pt>
                <c:pt idx="120">
                  <c:v>5.063544880845023</c:v>
                </c:pt>
                <c:pt idx="121">
                  <c:v>5.153830386562932</c:v>
                </c:pt>
                <c:pt idx="122">
                  <c:v>5.2449470941145035</c:v>
                </c:pt>
                <c:pt idx="123">
                  <c:v>5.3368952877547082</c:v>
                </c:pt>
                <c:pt idx="124">
                  <c:v>5.4296752395111501</c:v>
                </c:pt>
                <c:pt idx="125">
                  <c:v>5.5232872092939935</c:v>
                </c:pt>
                <c:pt idx="126">
                  <c:v>5.6177314450036775</c:v>
                </c:pt>
                <c:pt idx="127">
                  <c:v>5.7130081826364894</c:v>
                </c:pt>
                <c:pt idx="128">
                  <c:v>5.8091176463880707</c:v>
                </c:pt>
                <c:pt idx="129">
                  <c:v>5.9060598832365283</c:v>
                </c:pt>
                <c:pt idx="130">
                  <c:v>6.0038345968666045</c:v>
                </c:pt>
                <c:pt idx="131">
                  <c:v>6.1024413124659427</c:v>
                </c:pt>
                <c:pt idx="132">
                  <c:v>6.2018795421920805</c:v>
                </c:pt>
                <c:pt idx="133">
                  <c:v>6.3021487852974074</c:v>
                </c:pt>
                <c:pt idx="134">
                  <c:v>6.403248528251984</c:v>
                </c:pt>
                <c:pt idx="135">
                  <c:v>6.5051782448642763</c:v>
                </c:pt>
                <c:pt idx="136">
                  <c:v>6.6079373963998904</c:v>
                </c:pt>
                <c:pt idx="137">
                  <c:v>6.7115254316983535</c:v>
                </c:pt>
                <c:pt idx="138">
                  <c:v>6.8159417872880175</c:v>
                </c:pt>
                <c:pt idx="139">
                  <c:v>6.9211858874991341</c:v>
                </c:pt>
                <c:pt idx="140">
                  <c:v>7.0272571445751657</c:v>
                </c:pt>
                <c:pt idx="141">
                  <c:v>7.134154958782382</c:v>
                </c:pt>
                <c:pt idx="142">
                  <c:v>7.2418787185177989</c:v>
                </c:pt>
                <c:pt idx="143">
                  <c:v>7.3504278004155035</c:v>
                </c:pt>
                <c:pt idx="144">
                  <c:v>7.459801569451427</c:v>
                </c:pt>
                <c:pt idx="145">
                  <c:v>7.569999379046596</c:v>
                </c:pt>
                <c:pt idx="146">
                  <c:v>7.6810205711689212</c:v>
                </c:pt>
                <c:pt idx="147">
                  <c:v>7.7928644764335608</c:v>
                </c:pt>
                <c:pt idx="148">
                  <c:v>7.9055304142018992</c:v>
                </c:pt>
                <c:pt idx="149">
                  <c:v>8.0190176926791885</c:v>
                </c:pt>
                <c:pt idx="150">
                  <c:v>8.1333256090108836</c:v>
                </c:pt>
                <c:pt idx="151">
                  <c:v>8.2484534493777115</c:v>
                </c:pt>
                <c:pt idx="152">
                  <c:v>8.3644004890895154</c:v>
                </c:pt>
                <c:pt idx="153">
                  <c:v>8.4811659926779051</c:v>
                </c:pt>
                <c:pt idx="154">
                  <c:v>8.5987492139877393</c:v>
                </c:pt>
                <c:pt idx="155">
                  <c:v>8.7171493962674909</c:v>
                </c:pt>
                <c:pt idx="156">
                  <c:v>8.8363657722585103</c:v>
                </c:pt>
                <c:pt idx="157">
                  <c:v>8.9563975642832219</c:v>
                </c:pt>
                <c:pt idx="158">
                  <c:v>9.0772439843322896</c:v>
                </c:pt>
                <c:pt idx="159">
                  <c:v>9.198904234150767</c:v>
                </c:pt>
                <c:pt idx="160">
                  <c:v>9.3213775053232695</c:v>
                </c:pt>
                <c:pt idx="161">
                  <c:v>9.4446629793581955</c:v>
                </c:pt>
                <c:pt idx="162">
                  <c:v>9.5687598277710109</c:v>
                </c:pt>
                <c:pt idx="163">
                  <c:v>9.6936672121666305</c:v>
                </c:pt>
                <c:pt idx="164">
                  <c:v>9.8193842843209289</c:v>
                </c:pt>
                <c:pt idx="165">
                  <c:v>9.9459101862613739</c:v>
                </c:pt>
                <c:pt idx="166">
                  <c:v>10.073244050346839</c:v>
                </c:pt>
                <c:pt idx="167">
                  <c:v>10.201384999346599</c:v>
                </c:pt>
                <c:pt idx="168">
                  <c:v>10.330332146518527</c:v>
                </c:pt>
                <c:pt idx="169">
                  <c:v>10.460084595686521</c:v>
                </c:pt>
                <c:pt idx="170">
                  <c:v>10.590641441317171</c:v>
                </c:pt>
                <c:pt idx="171">
                  <c:v>10.7220017685957</c:v>
                </c:pt>
                <c:pt idx="172">
                  <c:v>10.854164653501178</c:v>
                </c:pt>
                <c:pt idx="173">
                  <c:v>10.987129162881038</c:v>
                </c:pt>
                <c:pt idx="174">
                  <c:v>11.120894354524916</c:v>
                </c:pt>
                <c:pt idx="175">
                  <c:v>11.25545927723781</c:v>
                </c:pt>
                <c:pt idx="176">
                  <c:v>11.3908229709126</c:v>
                </c:pt>
                <c:pt idx="177">
                  <c:v>11.526984466601927</c:v>
                </c:pt>
                <c:pt idx="178">
                  <c:v>11.663942786589455</c:v>
                </c:pt>
                <c:pt idx="179">
                  <c:v>11.801696944460517</c:v>
                </c:pt>
                <c:pt idx="180">
                  <c:v>11.940245945172178</c:v>
                </c:pt>
                <c:pt idx="181">
                  <c:v>12.079588785122718</c:v>
                </c:pt>
                <c:pt idx="182">
                  <c:v>12.219724452220541</c:v>
                </c:pt>
                <c:pt idx="183">
                  <c:v>12.36065192595254</c:v>
                </c:pt>
                <c:pt idx="184">
                  <c:v>12.502370177451914</c:v>
                </c:pt>
                <c:pt idx="185">
                  <c:v>12.644878169565454</c:v>
                </c:pt>
                <c:pt idx="186">
                  <c:v>12.788174856920316</c:v>
                </c:pt>
                <c:pt idx="187">
                  <c:v>12.93225918599029</c:v>
                </c:pt>
                <c:pt idx="188">
                  <c:v>13.077130095161559</c:v>
                </c:pt>
                <c:pt idx="189">
                  <c:v>13.222786514797985</c:v>
                </c:pt>
                <c:pt idx="190">
                  <c:v>13.369227367305912</c:v>
                </c:pt>
                <c:pt idx="191">
                  <c:v>13.516451567198505</c:v>
                </c:pt>
                <c:pt idx="192">
                  <c:v>13.664458021159634</c:v>
                </c:pt>
                <c:pt idx="193">
                  <c:v>13.813245628107303</c:v>
                </c:pt>
                <c:pt idx="194">
                  <c:v>13.962813279256652</c:v>
                </c:pt>
                <c:pt idx="195">
                  <c:v>14.113159858182517</c:v>
                </c:pt>
                <c:pt idx="196">
                  <c:v>14.264284240881572</c:v>
                </c:pt>
                <c:pt idx="197">
                  <c:v>14.416185295834062</c:v>
                </c:pt>
                <c:pt idx="198">
                  <c:v>14.56886188406512</c:v>
                </c:pt>
                <c:pt idx="199">
                  <c:v>14.722312859205697</c:v>
                </c:pt>
                <c:pt idx="200">
                  <c:v>14.876537067553089</c:v>
                </c:pt>
                <c:pt idx="201">
                  <c:v>15.031533348131088</c:v>
                </c:pt>
                <c:pt idx="202">
                  <c:v>15.187300532749752</c:v>
                </c:pt>
                <c:pt idx="203">
                  <c:v>15.343837446064803</c:v>
                </c:pt>
                <c:pt idx="204">
                  <c:v>15.501142905636666</c:v>
                </c:pt>
                <c:pt idx="205">
                  <c:v>15.65921572198914</c:v>
                </c:pt>
                <c:pt idx="206">
                  <c:v>15.818054655645556</c:v>
                </c:pt>
                <c:pt idx="207">
                  <c:v>15.977658374066227</c:v>
                </c:pt>
                <c:pt idx="208">
                  <c:v>16.138025494625222</c:v>
                </c:pt>
                <c:pt idx="209">
                  <c:v>16.299154627687663</c:v>
                </c:pt>
                <c:pt idx="210">
                  <c:v>16.461044376671744</c:v>
                </c:pt>
                <c:pt idx="211">
                  <c:v>16.623693338110375</c:v>
                </c:pt>
                <c:pt idx="212">
                  <c:v>16.787100101712486</c:v>
                </c:pt>
                <c:pt idx="213">
                  <c:v>16.951263250423949</c:v>
                </c:pt>
                <c:pt idx="214">
                  <c:v>17.116181360488163</c:v>
                </c:pt>
                <c:pt idx="215">
                  <c:v>17.281853001506306</c:v>
                </c:pt>
                <c:pt idx="216">
                  <c:v>17.448276736497217</c:v>
                </c:pt>
                <c:pt idx="217">
                  <c:v>17.615451121956976</c:v>
                </c:pt>
                <c:pt idx="218">
                  <c:v>17.783374707918124</c:v>
                </c:pt>
                <c:pt idx="219">
                  <c:v>17.952046038008582</c:v>
                </c:pt>
                <c:pt idx="220">
                  <c:v>18.121463649510218</c:v>
                </c:pt>
                <c:pt idx="221">
                  <c:v>18.291626073417124</c:v>
                </c:pt>
                <c:pt idx="222">
                  <c:v>18.462531834493564</c:v>
                </c:pt>
                <c:pt idx="223">
                  <c:v>18.634179451331612</c:v>
                </c:pt>
                <c:pt idx="224">
                  <c:v>18.806567436408478</c:v>
                </c:pt>
                <c:pt idx="225">
                  <c:v>18.979694296143549</c:v>
                </c:pt>
                <c:pt idx="226">
                  <c:v>19.153558530955102</c:v>
                </c:pt>
                <c:pt idx="227">
                  <c:v>19.328158635316754</c:v>
                </c:pt>
                <c:pt idx="228">
                  <c:v>19.503493097813578</c:v>
                </c:pt>
                <c:pt idx="229">
                  <c:v>19.679560401197971</c:v>
                </c:pt>
                <c:pt idx="230">
                  <c:v>19.856359022445201</c:v>
                </c:pt>
                <c:pt idx="231">
                  <c:v>20.033887432808687</c:v>
                </c:pt>
                <c:pt idx="232">
                  <c:v>20.21214409787499</c:v>
                </c:pt>
                <c:pt idx="233">
                  <c:v>20.391127477618536</c:v>
                </c:pt>
                <c:pt idx="234">
                  <c:v>20.570836026456043</c:v>
                </c:pt>
                <c:pt idx="235">
                  <c:v>20.751268193300692</c:v>
                </c:pt>
                <c:pt idx="236">
                  <c:v>20.932422421616028</c:v>
                </c:pt>
                <c:pt idx="237">
                  <c:v>21.114297149469571</c:v>
                </c:pt>
                <c:pt idx="238">
                  <c:v>21.296890809586188</c:v>
                </c:pt>
                <c:pt idx="239">
                  <c:v>21.480201829401171</c:v>
                </c:pt>
                <c:pt idx="240">
                  <c:v>21.66422863111309</c:v>
                </c:pt>
                <c:pt idx="241">
                  <c:v>21.848969631736345</c:v>
                </c:pt>
                <c:pt idx="242">
                  <c:v>22.034423090932787</c:v>
                </c:pt>
                <c:pt idx="243">
                  <c:v>22.220586958575034</c:v>
                </c:pt>
                <c:pt idx="244">
                  <c:v>22.407459026782615</c:v>
                </c:pt>
                <c:pt idx="245">
                  <c:v>22.595037082233752</c:v>
                </c:pt>
                <c:pt idx="246">
                  <c:v>22.783318906232378</c:v>
                </c:pt>
                <c:pt idx="247">
                  <c:v>22.972302274774769</c:v>
                </c:pt>
                <c:pt idx="248">
                  <c:v>23.161984958615783</c:v>
                </c:pt>
                <c:pt idx="249">
                  <c:v>23.352364723334734</c:v>
                </c:pt>
                <c:pt idx="250">
                  <c:v>23.543439329400886</c:v>
                </c:pt>
                <c:pt idx="251">
                  <c:v>23.735206532238561</c:v>
                </c:pt>
                <c:pt idx="252">
                  <c:v>23.927664082291887</c:v>
                </c:pt>
                <c:pt idx="253">
                  <c:v>24.120809725089181</c:v>
                </c:pt>
                <c:pt idx="254">
                  <c:v>24.314641201306944</c:v>
                </c:pt>
                <c:pt idx="255">
                  <c:v>24.509156246833506</c:v>
                </c:pt>
                <c:pt idx="256">
                  <c:v>24.704352592832294</c:v>
                </c:pt>
                <c:pt idx="257">
                  <c:v>24.900227965804753</c:v>
                </c:pt>
                <c:pt idx="258">
                  <c:v>25.096780087652888</c:v>
                </c:pt>
                <c:pt idx="259">
                  <c:v>25.294006675741461</c:v>
                </c:pt>
                <c:pt idx="260">
                  <c:v>25.491905442959812</c:v>
                </c:pt>
                <c:pt idx="261">
                  <c:v>25.690474097783348</c:v>
                </c:pt>
                <c:pt idx="262">
                  <c:v>25.889710344334645</c:v>
                </c:pt>
                <c:pt idx="263">
                  <c:v>26.089611882444238</c:v>
                </c:pt>
                <c:pt idx="264">
                  <c:v>26.290176407711016</c:v>
                </c:pt>
                <c:pt idx="265">
                  <c:v>26.491401611562289</c:v>
                </c:pt>
                <c:pt idx="266">
                  <c:v>26.693285181313506</c:v>
                </c:pt>
                <c:pt idx="267">
                  <c:v>26.895824800227622</c:v>
                </c:pt>
                <c:pt idx="268">
                  <c:v>27.099018147574103</c:v>
                </c:pt>
                <c:pt idx="269">
                  <c:v>27.302862898687618</c:v>
                </c:pt>
                <c:pt idx="270">
                  <c:v>27.507356725026344</c:v>
                </c:pt>
                <c:pt idx="271">
                  <c:v>27.712497294229969</c:v>
                </c:pt>
                <c:pt idx="272">
                  <c:v>27.918282270177322</c:v>
                </c:pt>
                <c:pt idx="273">
                  <c:v>28.124709313043674</c:v>
                </c:pt>
                <c:pt idx="274">
                  <c:v>28.331776079357695</c:v>
                </c:pt>
                <c:pt idx="275">
                  <c:v>28.539480222058081</c:v>
                </c:pt>
                <c:pt idx="276">
                  <c:v>28.747819390549829</c:v>
                </c:pt>
                <c:pt idx="277">
                  <c:v>28.956791230760185</c:v>
                </c:pt>
                <c:pt idx="278">
                  <c:v>29.166393385194244</c:v>
                </c:pt>
                <c:pt idx="279">
                  <c:v>29.376623492990223</c:v>
                </c:pt>
                <c:pt idx="280">
                  <c:v>29.58747918997441</c:v>
                </c:pt>
                <c:pt idx="281">
                  <c:v>29.798958108715745</c:v>
                </c:pt>
                <c:pt idx="282">
                  <c:v>30.011057878580107</c:v>
                </c:pt>
                <c:pt idx="283">
                  <c:v>30.223776125784244</c:v>
                </c:pt>
                <c:pt idx="284">
                  <c:v>30.437110656492905</c:v>
                </c:pt>
                <c:pt idx="285">
                  <c:v>30.651059640140154</c:v>
                </c:pt>
                <c:pt idx="286">
                  <c:v>30.865621426564722</c:v>
                </c:pt>
                <c:pt idx="287">
                  <c:v>31.080794362912908</c:v>
                </c:pt>
                <c:pt idx="288">
                  <c:v>31.296576793675779</c:v>
                </c:pt>
                <c:pt idx="289">
                  <c:v>31.512967060726204</c:v>
                </c:pt>
                <c:pt idx="290">
                  <c:v>31.729963503355673</c:v>
                </c:pt>
                <c:pt idx="291">
                  <c:v>31.947564458310953</c:v>
                </c:pt>
                <c:pt idx="292">
                  <c:v>32.165768259830543</c:v>
                </c:pt>
                <c:pt idx="293">
                  <c:v>32.384573239680954</c:v>
                </c:pt>
                <c:pt idx="294">
                  <c:v>32.603977727192792</c:v>
                </c:pt>
                <c:pt idx="295">
                  <c:v>32.823980049296672</c:v>
                </c:pt>
                <c:pt idx="296">
                  <c:v>33.04457853055893</c:v>
                </c:pt>
                <c:pt idx="297">
                  <c:v>33.265771493217152</c:v>
                </c:pt>
                <c:pt idx="298">
                  <c:v>33.487557257215542</c:v>
                </c:pt>
                <c:pt idx="299">
                  <c:v>33.709934140240073</c:v>
                </c:pt>
                <c:pt idx="300">
                  <c:v>33.932900457753469</c:v>
                </c:pt>
                <c:pt idx="301">
                  <c:v>34.156454523030014</c:v>
                </c:pt>
                <c:pt idx="302">
                  <c:v>34.380594647190151</c:v>
                </c:pt>
                <c:pt idx="303">
                  <c:v>34.605319139234943</c:v>
                </c:pt>
                <c:pt idx="304">
                  <c:v>34.830626306080283</c:v>
                </c:pt>
                <c:pt idx="305">
                  <c:v>35.056514452590996</c:v>
                </c:pt>
                <c:pt idx="306">
                  <c:v>35.282981881614703</c:v>
                </c:pt>
                <c:pt idx="307">
                  <c:v>35.510026894015525</c:v>
                </c:pt>
                <c:pt idx="308">
                  <c:v>35.737647788707605</c:v>
                </c:pt>
                <c:pt idx="309">
                  <c:v>35.965842862688447</c:v>
                </c:pt>
                <c:pt idx="310">
                  <c:v>36.194610411072077</c:v>
                </c:pt>
                <c:pt idx="311">
                  <c:v>36.423948727122003</c:v>
                </c:pt>
                <c:pt idx="312">
                  <c:v>36.653856102284031</c:v>
                </c:pt>
                <c:pt idx="313">
                  <c:v>36.884330826218857</c:v>
                </c:pt>
                <c:pt idx="314">
                  <c:v>37.115371186834508</c:v>
                </c:pt>
                <c:pt idx="315">
                  <c:v>37.346975470318597</c:v>
                </c:pt>
                <c:pt idx="316">
                  <c:v>37.579141961170393</c:v>
                </c:pt>
                <c:pt idx="317">
                  <c:v>37.811868942232707</c:v>
                </c:pt>
                <c:pt idx="318">
                  <c:v>38.045154694723614</c:v>
                </c:pt>
                <c:pt idx="319">
                  <c:v>38.278997498267969</c:v>
                </c:pt>
                <c:pt idx="320">
                  <c:v>38.513395630928777</c:v>
                </c:pt>
                <c:pt idx="321">
                  <c:v>38.748347369238353</c:v>
                </c:pt>
                <c:pt idx="322">
                  <c:v>38.983850988229321</c:v>
                </c:pt>
                <c:pt idx="323">
                  <c:v>39.219904761465429</c:v>
                </c:pt>
                <c:pt idx="324">
                  <c:v>39.456506961072193</c:v>
                </c:pt>
                <c:pt idx="325">
                  <c:v>39.69365585776734</c:v>
                </c:pt>
                <c:pt idx="326">
                  <c:v>39.931349732380681</c:v>
                </c:pt>
                <c:pt idx="327">
                  <c:v>40.169586887383474</c:v>
                </c:pt>
                <c:pt idx="328">
                  <c:v>40.40836563542927</c:v>
                </c:pt>
                <c:pt idx="329">
                  <c:v>40.647684287884623</c:v>
                </c:pt>
                <c:pt idx="330">
                  <c:v>40.887541154857914</c:v>
                </c:pt>
                <c:pt idx="331">
                  <c:v>41.127934545228015</c:v>
                </c:pt>
                <c:pt idx="332">
                  <c:v>41.368862766672763</c:v>
                </c:pt>
                <c:pt idx="333">
                  <c:v>41.610324125697289</c:v>
                </c:pt>
                <c:pt idx="334">
                  <c:v>41.852316927662166</c:v>
                </c:pt>
                <c:pt idx="335">
                  <c:v>42.094839476811387</c:v>
                </c:pt>
                <c:pt idx="336">
                  <c:v>42.337890076300177</c:v>
                </c:pt>
                <c:pt idx="337">
                  <c:v>42.581467028222626</c:v>
                </c:pt>
                <c:pt idx="338">
                  <c:v>42.825568633639179</c:v>
                </c:pt>
                <c:pt idx="339">
                  <c:v>43.070193192603924</c:v>
                </c:pt>
                <c:pt idx="340">
                  <c:v>43.315339004191742</c:v>
                </c:pt>
                <c:pt idx="341">
                  <c:v>43.56100436652526</c:v>
                </c:pt>
                <c:pt idx="342">
                  <c:v>43.807187576801674</c:v>
                </c:pt>
                <c:pt idx="343">
                  <c:v>44.053886931319362</c:v>
                </c:pt>
                <c:pt idx="344">
                  <c:v>44.301100725504348</c:v>
                </c:pt>
                <c:pt idx="345">
                  <c:v>44.548827253936622</c:v>
                </c:pt>
                <c:pt idx="346">
                  <c:v>44.797064810376256</c:v>
                </c:pt>
                <c:pt idx="347">
                  <c:v>45.04581168778936</c:v>
                </c:pt>
                <c:pt idx="348">
                  <c:v>45.295066178373908</c:v>
                </c:pt>
                <c:pt idx="349">
                  <c:v>45.54482657358534</c:v>
                </c:pt>
                <c:pt idx="350">
                  <c:v>45.795091164162045</c:v>
                </c:pt>
                <c:pt idx="351">
                  <c:v>46.045858240150658</c:v>
                </c:pt>
                <c:pt idx="352">
                  <c:v>46.297126090931194</c:v>
                </c:pt>
                <c:pt idx="353">
                  <c:v>46.548893005242014</c:v>
                </c:pt>
                <c:pt idx="354">
                  <c:v>46.801157271204637</c:v>
                </c:pt>
                <c:pt idx="355">
                  <c:v>47.053917176348371</c:v>
                </c:pt>
                <c:pt idx="356">
                  <c:v>47.307171007634793</c:v>
                </c:pt>
                <c:pt idx="357">
                  <c:v>47.560917051482058</c:v>
                </c:pt>
                <c:pt idx="358">
                  <c:v>47.815153593789042</c:v>
                </c:pt>
                <c:pt idx="359">
                  <c:v>48.069878919959322</c:v>
                </c:pt>
                <c:pt idx="360">
                  <c:v>48.325091314925011</c:v>
                </c:pt>
                <c:pt idx="361">
                  <c:v>48.580789063170393</c:v>
                </c:pt>
                <c:pt idx="362">
                  <c:v>48.836970448755437</c:v>
                </c:pt>
                <c:pt idx="363">
                  <c:v>49.093633755339098</c:v>
                </c:pt>
                <c:pt idx="364">
                  <c:v>49.350777266202513</c:v>
                </c:pt>
                <c:pt idx="365">
                  <c:v>49.608399264271988</c:v>
                </c:pt>
                <c:pt idx="366">
                  <c:v>49.866498328991575</c:v>
                </c:pt>
                <c:pt idx="367">
                  <c:v>50.125073633353921</c:v>
                </c:pt>
                <c:pt idx="368">
                  <c:v>50.384124646937003</c:v>
                </c:pt>
                <c:pt idx="369">
                  <c:v>50.64365083877528</c:v>
                </c:pt>
                <c:pt idx="370">
                  <c:v>50.903651677368067</c:v>
                </c:pt>
                <c:pt idx="371">
                  <c:v>51.164126630687903</c:v>
                </c:pt>
                <c:pt idx="372">
                  <c:v>51.425075166188833</c:v>
                </c:pt>
                <c:pt idx="373">
                  <c:v>51.686496750814733</c:v>
                </c:pt>
                <c:pt idx="374">
                  <c:v>51.948390851007531</c:v>
                </c:pt>
                <c:pt idx="375">
                  <c:v>52.210756932715441</c:v>
                </c:pt>
                <c:pt idx="376">
                  <c:v>52.47359446140117</c:v>
                </c:pt>
                <c:pt idx="377">
                  <c:v>52.736902902050055</c:v>
                </c:pt>
                <c:pt idx="378">
                  <c:v>53.00068171917821</c:v>
                </c:pt>
                <c:pt idx="379">
                  <c:v>53.264930376840624</c:v>
                </c:pt>
                <c:pt idx="380">
                  <c:v>53.52964833863922</c:v>
                </c:pt>
                <c:pt idx="381">
                  <c:v>53.794834745145288</c:v>
                </c:pt>
                <c:pt idx="382">
                  <c:v>54.060488091173838</c:v>
                </c:pt>
                <c:pt idx="383">
                  <c:v>54.32660654856722</c:v>
                </c:pt>
                <c:pt idx="384">
                  <c:v>54.593188289133984</c:v>
                </c:pt>
                <c:pt idx="385">
                  <c:v>54.860231484671274</c:v>
                </c:pt>
                <c:pt idx="386">
                  <c:v>55.127734306987044</c:v>
                </c:pt>
                <c:pt idx="387">
                  <c:v>55.395694927922108</c:v>
                </c:pt>
                <c:pt idx="388">
                  <c:v>55.664111519372</c:v>
                </c:pt>
                <c:pt idx="389">
                  <c:v>55.932982253308694</c:v>
                </c:pt>
                <c:pt idx="390">
                  <c:v>56.202305301802106</c:v>
                </c:pt>
                <c:pt idx="391">
                  <c:v>56.472078837041451</c:v>
                </c:pt>
                <c:pt idx="392">
                  <c:v>56.74230103135644</c:v>
                </c:pt>
                <c:pt idx="393">
                  <c:v>57.01297005723827</c:v>
                </c:pt>
                <c:pt idx="394">
                  <c:v>57.284084087360469</c:v>
                </c:pt>
                <c:pt idx="395">
                  <c:v>57.555641294599567</c:v>
                </c:pt>
                <c:pt idx="396">
                  <c:v>57.82763985205559</c:v>
                </c:pt>
                <c:pt idx="397">
                  <c:v>58.100077933072384</c:v>
                </c:pt>
                <c:pt idx="398">
                  <c:v>58.372953711257786</c:v>
                </c:pt>
                <c:pt idx="399">
                  <c:v>58.646265360503591</c:v>
                </c:pt>
                <c:pt idx="400">
                  <c:v>58.920011055005389</c:v>
                </c:pt>
                <c:pt idx="401">
                  <c:v>59.194188713833249</c:v>
                </c:pt>
                <c:pt idx="402">
                  <c:v>59.468795745420344</c:v>
                </c:pt>
                <c:pt idx="403">
                  <c:v>59.743829303241128</c:v>
                </c:pt>
                <c:pt idx="404">
                  <c:v>60.019286541577678</c:v>
                </c:pt>
                <c:pt idx="405">
                  <c:v>60.295164615551393</c:v>
                </c:pt>
                <c:pt idx="406">
                  <c:v>60.571460681154363</c:v>
                </c:pt>
                <c:pt idx="407">
                  <c:v>60.848171895280402</c:v>
                </c:pt>
                <c:pt idx="408">
                  <c:v>61.12529541575573</c:v>
                </c:pt>
                <c:pt idx="409">
                  <c:v>61.402828401369305</c:v>
                </c:pt>
                <c:pt idx="410">
                  <c:v>61.680768011902835</c:v>
                </c:pt>
                <c:pt idx="411">
                  <c:v>61.959109992163754</c:v>
                </c:pt>
                <c:pt idx="412">
                  <c:v>62.237847255692735</c:v>
                </c:pt>
                <c:pt idx="413">
                  <c:v>62.516971302174923</c:v>
                </c:pt>
                <c:pt idx="414">
                  <c:v>62.796473635230917</c:v>
                </c:pt>
                <c:pt idx="415">
                  <c:v>63.076345762553871</c:v>
                </c:pt>
                <c:pt idx="416">
                  <c:v>63.356579196044102</c:v>
                </c:pt>
                <c:pt idx="417">
                  <c:v>63.637165451941286</c:v>
                </c:pt>
                <c:pt idx="418">
                  <c:v>63.918096050954205</c:v>
                </c:pt>
                <c:pt idx="419">
                  <c:v>64.199362518388028</c:v>
                </c:pt>
                <c:pt idx="420">
                  <c:v>64.480955576486551</c:v>
                </c:pt>
                <c:pt idx="421">
                  <c:v>64.762864336718394</c:v>
                </c:pt>
                <c:pt idx="422">
                  <c:v>65.045077108683728</c:v>
                </c:pt>
                <c:pt idx="423">
                  <c:v>65.327582209116201</c:v>
                </c:pt>
                <c:pt idx="424">
                  <c:v>65.610367962085633</c:v>
                </c:pt>
                <c:pt idx="425">
                  <c:v>65.893422699196179</c:v>
                </c:pt>
                <c:pt idx="426">
                  <c:v>66.176734759780132</c:v>
                </c:pt>
                <c:pt idx="427">
                  <c:v>66.460292491087301</c:v>
                </c:pt>
                <c:pt idx="428">
                  <c:v>66.74408424846996</c:v>
                </c:pt>
                <c:pt idx="429">
                  <c:v>67.028098395563489</c:v>
                </c:pt>
                <c:pt idx="430">
                  <c:v>67.312323304462552</c:v>
                </c:pt>
                <c:pt idx="431">
                  <c:v>67.596747355893044</c:v>
                </c:pt>
                <c:pt idx="432">
                  <c:v>67.881357632652509</c:v>
                </c:pt>
                <c:pt idx="433">
                  <c:v>68.16613861329644</c:v>
                </c:pt>
                <c:pt idx="434">
                  <c:v>68.451073481170056</c:v>
                </c:pt>
                <c:pt idx="435">
                  <c:v>68.73614543327146</c:v>
                </c:pt>
                <c:pt idx="436">
                  <c:v>69.021337680570781</c:v>
                </c:pt>
                <c:pt idx="437">
                  <c:v>69.306633448320468</c:v>
                </c:pt>
                <c:pt idx="438">
                  <c:v>69.59201597635672</c:v>
                </c:pt>
                <c:pt idx="439">
                  <c:v>69.877468519392039</c:v>
                </c:pt>
                <c:pt idx="440">
                  <c:v>70.162974347298999</c:v>
                </c:pt>
                <c:pt idx="441">
                  <c:v>70.448516745385206</c:v>
                </c:pt>
                <c:pt idx="442">
                  <c:v>70.734079810999447</c:v>
                </c:pt>
                <c:pt idx="443">
                  <c:v>71.019649249761841</c:v>
                </c:pt>
                <c:pt idx="444">
                  <c:v>71.305211577847288</c:v>
                </c:pt>
                <c:pt idx="445">
                  <c:v>71.590753324580234</c:v>
                </c:pt>
                <c:pt idx="446">
                  <c:v>71.87626103257297</c:v>
                </c:pt>
                <c:pt idx="447">
                  <c:v>72.161721257858332</c:v>
                </c:pt>
                <c:pt idx="448">
                  <c:v>72.447120570016949</c:v>
                </c:pt>
                <c:pt idx="449">
                  <c:v>72.732445552298856</c:v>
                </c:pt>
                <c:pt idx="450">
                  <c:v>73.017682801739639</c:v>
                </c:pt>
                <c:pt idx="451">
                  <c:v>73.302818929271126</c:v>
                </c:pt>
                <c:pt idx="452">
                  <c:v>73.587840559826589</c:v>
                </c:pt>
                <c:pt idx="453">
                  <c:v>73.872735477379067</c:v>
                </c:pt>
                <c:pt idx="454">
                  <c:v>74.157493769216515</c:v>
                </c:pt>
                <c:pt idx="455">
                  <c:v>74.442106678442912</c:v>
                </c:pt>
                <c:pt idx="456">
                  <c:v>74.726565457195008</c:v>
                </c:pt>
                <c:pt idx="457">
                  <c:v>75.010861366648726</c:v>
                </c:pt>
                <c:pt idx="458">
                  <c:v>75.294985677023377</c:v>
                </c:pt>
                <c:pt idx="459">
                  <c:v>75.578929667583679</c:v>
                </c:pt>
                <c:pt idx="460">
                  <c:v>75.862684626639592</c:v>
                </c:pt>
                <c:pt idx="461">
                  <c:v>76.146242885119548</c:v>
                </c:pt>
                <c:pt idx="462">
                  <c:v>76.42959884938432</c:v>
                </c:pt>
                <c:pt idx="463">
                  <c:v>76.712747965170976</c:v>
                </c:pt>
                <c:pt idx="464">
                  <c:v>76.995685682284062</c:v>
                </c:pt>
                <c:pt idx="465">
                  <c:v>77.278407454569745</c:v>
                </c:pt>
                <c:pt idx="466">
                  <c:v>77.560907869841543</c:v>
                </c:pt>
                <c:pt idx="467">
                  <c:v>77.843179780457845</c:v>
                </c:pt>
                <c:pt idx="468">
                  <c:v>78.125205478323338</c:v>
                </c:pt>
                <c:pt idx="469">
                  <c:v>78.40695974904483</c:v>
                </c:pt>
                <c:pt idx="470">
                  <c:v>78.688431455380936</c:v>
                </c:pt>
                <c:pt idx="471">
                  <c:v>78.969621349065264</c:v>
                </c:pt>
                <c:pt idx="472">
                  <c:v>79.250530178980242</c:v>
                </c:pt>
                <c:pt idx="473">
                  <c:v>79.531158691171882</c:v>
                </c:pt>
                <c:pt idx="474">
                  <c:v>79.811507628864376</c:v>
                </c:pt>
                <c:pt idx="475">
                  <c:v>80.091577732474704</c:v>
                </c:pt>
                <c:pt idx="476">
                  <c:v>80.371369739627028</c:v>
                </c:pt>
                <c:pt idx="477">
                  <c:v>80.650884385167075</c:v>
                </c:pt>
                <c:pt idx="478">
                  <c:v>80.930122401176419</c:v>
                </c:pt>
                <c:pt idx="479">
                  <c:v>81.209084516986636</c:v>
                </c:pt>
                <c:pt idx="480">
                  <c:v>81.487771459193382</c:v>
                </c:pt>
                <c:pt idx="481">
                  <c:v>81.766183951670399</c:v>
                </c:pt>
                <c:pt idx="482">
                  <c:v>82.044322715583405</c:v>
                </c:pt>
                <c:pt idx="483">
                  <c:v>82.322188469403926</c:v>
                </c:pt>
                <c:pt idx="484">
                  <c:v>82.599781928923022</c:v>
                </c:pt>
                <c:pt idx="485">
                  <c:v>82.877103807264874</c:v>
                </c:pt>
                <c:pt idx="486">
                  <c:v>83.154154814900423</c:v>
                </c:pt>
                <c:pt idx="487">
                  <c:v>83.430935659660747</c:v>
                </c:pt>
                <c:pt idx="488">
                  <c:v>83.707447046750517</c:v>
                </c:pt>
                <c:pt idx="489">
                  <c:v>83.983689678761223</c:v>
                </c:pt>
                <c:pt idx="490">
                  <c:v>84.259664255684413</c:v>
                </c:pt>
                <c:pt idx="491">
                  <c:v>84.535371474924844</c:v>
                </c:pt>
                <c:pt idx="492">
                  <c:v>84.810812031313489</c:v>
                </c:pt>
                <c:pt idx="493">
                  <c:v>85.085986617120511</c:v>
                </c:pt>
                <c:pt idx="494">
                  <c:v>85.360895922068124</c:v>
                </c:pt>
                <c:pt idx="495">
                  <c:v>85.635540633343425</c:v>
                </c:pt>
                <c:pt idx="496">
                  <c:v>85.909921435611096</c:v>
                </c:pt>
                <c:pt idx="497">
                  <c:v>86.184039011026016</c:v>
                </c:pt>
                <c:pt idx="498">
                  <c:v>86.457894039245843</c:v>
                </c:pt>
                <c:pt idx="499">
                  <c:v>86.731487197443514</c:v>
                </c:pt>
                <c:pt idx="500">
                  <c:v>87.004819160319585</c:v>
                </c:pt>
                <c:pt idx="501">
                  <c:v>89.723825117429314</c:v>
                </c:pt>
                <c:pt idx="502">
                  <c:v>92.417144252593999</c:v>
                </c:pt>
                <c:pt idx="503">
                  <c:v>95.085428563625968</c:v>
                </c:pt>
                <c:pt idx="504">
                  <c:v>97.72930687694911</c:v>
                </c:pt>
                <c:pt idx="505">
                  <c:v>100.34938596284547</c:v>
                </c:pt>
                <c:pt idx="506">
                  <c:v>102.94625158406986</c:v>
                </c:pt>
                <c:pt idx="507">
                  <c:v>105.52046948258349</c:v>
                </c:pt>
                <c:pt idx="508">
                  <c:v>108.07258630876571</c:v>
                </c:pt>
                <c:pt idx="509">
                  <c:v>110.60313049710687</c:v>
                </c:pt>
                <c:pt idx="510">
                  <c:v>113.11261309206334</c:v>
                </c:pt>
                <c:pt idx="511">
                  <c:v>115.60152852746165</c:v>
                </c:pt>
                <c:pt idx="512">
                  <c:v>118.07035536257307</c:v>
                </c:pt>
                <c:pt idx="513">
                  <c:v>120.51955697773597</c:v>
                </c:pt>
                <c:pt idx="514">
                  <c:v>122.94958223218272</c:v>
                </c:pt>
                <c:pt idx="515">
                  <c:v>125.36086608652509</c:v>
                </c:pt>
                <c:pt idx="516">
                  <c:v>127.75383019216797</c:v>
                </c:pt>
                <c:pt idx="517">
                  <c:v>130.12888344975184</c:v>
                </c:pt>
                <c:pt idx="518">
                  <c:v>132.48642253857008</c:v>
                </c:pt>
                <c:pt idx="519">
                  <c:v>134.82683241876538</c:v>
                </c:pt>
                <c:pt idx="520">
                  <c:v>137.15048680797921</c:v>
                </c:pt>
                <c:pt idx="521">
                  <c:v>139.45774863400962</c:v>
                </c:pt>
                <c:pt idx="522">
                  <c:v>141.74897046492197</c:v>
                </c:pt>
                <c:pt idx="523">
                  <c:v>144.02449491795701</c:v>
                </c:pt>
                <c:pt idx="524">
                  <c:v>146.28465504848745</c:v>
                </c:pt>
                <c:pt idx="525">
                  <c:v>148.52977472018856</c:v>
                </c:pt>
                <c:pt idx="526">
                  <c:v>150.76016895750928</c:v>
                </c:pt>
                <c:pt idx="527">
                  <c:v>152.97614428145769</c:v>
                </c:pt>
                <c:pt idx="528">
                  <c:v>155.17799902964697</c:v>
                </c:pt>
                <c:pt idx="529">
                  <c:v>157.36602366148577</c:v>
                </c:pt>
                <c:pt idx="530">
                  <c:v>159.54050104933967</c:v>
                </c:pt>
                <c:pt idx="531">
                  <c:v>161.70170675643649</c:v>
                </c:pt>
                <c:pt idx="532">
                  <c:v>163.84990930223904</c:v>
                </c:pt>
                <c:pt idx="533">
                  <c:v>165.9853704159633</c:v>
                </c:pt>
                <c:pt idx="534">
                  <c:v>168.10834527887678</c:v>
                </c:pt>
                <c:pt idx="535">
                  <c:v>170.21908275597295</c:v>
                </c:pt>
                <c:pt idx="536">
                  <c:v>172.31782561758064</c:v>
                </c:pt>
                <c:pt idx="537">
                  <c:v>174.40481075143305</c:v>
                </c:pt>
                <c:pt idx="538">
                  <c:v>176.48026936568925</c:v>
                </c:pt>
                <c:pt idx="539">
                  <c:v>178.54442718337174</c:v>
                </c:pt>
                <c:pt idx="540">
                  <c:v>180.59750462865546</c:v>
                </c:pt>
                <c:pt idx="541">
                  <c:v>182.63971700541865</c:v>
                </c:pt>
                <c:pt idx="542">
                  <c:v>184.67127466844124</c:v>
                </c:pt>
                <c:pt idx="543">
                  <c:v>186.6923831876145</c:v>
                </c:pt>
                <c:pt idx="544">
                  <c:v>188.70324350550462</c:v>
                </c:pt>
                <c:pt idx="545">
                  <c:v>190.70405208859322</c:v>
                </c:pt>
                <c:pt idx="546">
                  <c:v>192.69500107249959</c:v>
                </c:pt>
                <c:pt idx="547">
                  <c:v>194.67627840147227</c:v>
                </c:pt>
                <c:pt idx="548">
                  <c:v>196.64806796242161</c:v>
                </c:pt>
                <c:pt idx="549">
                  <c:v>198.61054971374966</c:v>
                </c:pt>
                <c:pt idx="550">
                  <c:v>200.56389980922017</c:v>
                </c:pt>
                <c:pt idx="551">
                  <c:v>202.50829071709751</c:v>
                </c:pt>
                <c:pt idx="552">
                  <c:v>204.44389133477151</c:v>
                </c:pt>
                <c:pt idx="553">
                  <c:v>206.37086709907348</c:v>
                </c:pt>
                <c:pt idx="554">
                  <c:v>208.28938009247727</c:v>
                </c:pt>
                <c:pt idx="555">
                  <c:v>210.1995891453694</c:v>
                </c:pt>
                <c:pt idx="556">
                  <c:v>212.10164993456252</c:v>
                </c:pt>
                <c:pt idx="557">
                  <c:v>213.99571507821693</c:v>
                </c:pt>
                <c:pt idx="558">
                  <c:v>215.88193422732706</c:v>
                </c:pt>
                <c:pt idx="559">
                  <c:v>217.76045415392073</c:v>
                </c:pt>
                <c:pt idx="560">
                  <c:v>219.63141883611215</c:v>
                </c:pt>
                <c:pt idx="561">
                  <c:v>221.49496954014219</c:v>
                </c:pt>
                <c:pt idx="562">
                  <c:v>223.35124489953233</c:v>
                </c:pt>
                <c:pt idx="563">
                  <c:v>225.20038099147266</c:v>
                </c:pt>
                <c:pt idx="564">
                  <c:v>227.04251141055803</c:v>
                </c:pt>
                <c:pt idx="565">
                  <c:v>228.87776733998064</c:v>
                </c:pt>
                <c:pt idx="566">
                  <c:v>230.70627762028187</c:v>
                </c:pt>
                <c:pt idx="567">
                  <c:v>232.5281688157614</c:v>
                </c:pt>
                <c:pt idx="568">
                  <c:v>234.34356527863588</c:v>
                </c:pt>
                <c:pt idx="569">
                  <c:v>236.15258921103575</c:v>
                </c:pt>
                <c:pt idx="570">
                  <c:v>237.95536072492354</c:v>
                </c:pt>
                <c:pt idx="571">
                  <c:v>239.75199790001332</c:v>
                </c:pt>
                <c:pt idx="572">
                  <c:v>241.54261683976662</c:v>
                </c:pt>
                <c:pt idx="573">
                  <c:v>243.32733172553634</c:v>
                </c:pt>
                <c:pt idx="574">
                  <c:v>245.1062548689267</c:v>
                </c:pt>
                <c:pt idx="575">
                  <c:v>246.87949676243343</c:v>
                </c:pt>
                <c:pt idx="576">
                  <c:v>248.64716612842534</c:v>
                </c:pt>
                <c:pt idx="577">
                  <c:v>250.40936996652493</c:v>
                </c:pt>
                <c:pt idx="578">
                  <c:v>252.16621359944267</c:v>
                </c:pt>
                <c:pt idx="579">
                  <c:v>253.9178007173166</c:v>
                </c:pt>
                <c:pt idx="580">
                  <c:v>255.66423342060591</c:v>
                </c:pt>
                <c:pt idx="581">
                  <c:v>257.40561226158428</c:v>
                </c:pt>
                <c:pt idx="582">
                  <c:v>259.14203628447626</c:v>
                </c:pt>
                <c:pt idx="583">
                  <c:v>260.87360306427661</c:v>
                </c:pt>
                <c:pt idx="584">
                  <c:v>262.60040874429092</c:v>
                </c:pt>
                <c:pt idx="585">
                  <c:v>264.3225480724322</c:v>
                </c:pt>
                <c:pt idx="586">
                  <c:v>266.04011443630588</c:v>
                </c:pt>
                <c:pt idx="587">
                  <c:v>267.75319989711357</c:v>
                </c:pt>
                <c:pt idx="588">
                  <c:v>269.46189522240252</c:v>
                </c:pt>
                <c:pt idx="589">
                  <c:v>271.16628991768562</c:v>
                </c:pt>
                <c:pt idx="590">
                  <c:v>272.86647225695435</c:v>
                </c:pt>
                <c:pt idx="591">
                  <c:v>274.56252931210372</c:v>
                </c:pt>
                <c:pt idx="592">
                  <c:v>276.25454698128613</c:v>
                </c:pt>
                <c:pt idx="593">
                  <c:v>277.94261001620833</c:v>
                </c:pt>
                <c:pt idx="594">
                  <c:v>279.62680204838176</c:v>
                </c:pt>
                <c:pt idx="595">
                  <c:v>281.30720561433486</c:v>
                </c:pt>
                <c:pt idx="596">
                  <c:v>282.98390217979176</c:v>
                </c:pt>
                <c:pt idx="597">
                  <c:v>284.65697216281882</c:v>
                </c:pt>
                <c:pt idx="598">
                  <c:v>286.32649495593637</c:v>
                </c:pt>
                <c:pt idx="599">
                  <c:v>287.99254894719019</c:v>
                </c:pt>
                <c:pt idx="600">
                  <c:v>289.65521154017165</c:v>
                </c:pt>
                <c:pt idx="601">
                  <c:v>291.31455917297228</c:v>
                </c:pt>
                <c:pt idx="602">
                  <c:v>292.97066733605294</c:v>
                </c:pt>
                <c:pt idx="603">
                  <c:v>294.62361058900251</c:v>
                </c:pt>
                <c:pt idx="604">
                  <c:v>296.27346257615534</c:v>
                </c:pt>
                <c:pt idx="605">
                  <c:v>297.92029604103016</c:v>
                </c:pt>
                <c:pt idx="606">
                  <c:v>299.56418283954599</c:v>
                </c:pt>
                <c:pt idx="607">
                  <c:v>301.205193951963</c:v>
                </c:pt>
                <c:pt idx="608">
                  <c:v>302.84339949348691</c:v>
                </c:pt>
                <c:pt idx="609">
                  <c:v>304.47886872346635</c:v>
                </c:pt>
                <c:pt idx="610">
                  <c:v>306.11167005310153</c:v>
                </c:pt>
                <c:pt idx="611">
                  <c:v>307.74187105157012</c:v>
                </c:pt>
                <c:pt idx="612">
                  <c:v>309.36953845046247</c:v>
                </c:pt>
                <c:pt idx="613">
                  <c:v>310.99473814640373</c:v>
                </c:pt>
                <c:pt idx="614">
                  <c:v>312.61753520172221</c:v>
                </c:pt>
                <c:pt idx="615">
                  <c:v>314.23799384300395</c:v>
                </c:pt>
                <c:pt idx="616">
                  <c:v>315.85617745735289</c:v>
                </c:pt>
                <c:pt idx="617">
                  <c:v>317.47214858614979</c:v>
                </c:pt>
                <c:pt idx="618">
                  <c:v>319.08596891607715</c:v>
                </c:pt>
                <c:pt idx="619">
                  <c:v>320.69769926714565</c:v>
                </c:pt>
                <c:pt idx="620">
                  <c:v>322.30739957742412</c:v>
                </c:pt>
                <c:pt idx="621">
                  <c:v>323.91512888413683</c:v>
                </c:pt>
                <c:pt idx="622">
                  <c:v>325.52094530074999</c:v>
                </c:pt>
                <c:pt idx="623">
                  <c:v>327.1249059896237</c:v>
                </c:pt>
                <c:pt idx="624">
                  <c:v>328.72706712975611</c:v>
                </c:pt>
                <c:pt idx="625">
                  <c:v>330.3274838790939</c:v>
                </c:pt>
                <c:pt idx="626">
                  <c:v>331.92621033082804</c:v>
                </c:pt>
                <c:pt idx="627">
                  <c:v>333.52329946303837</c:v>
                </c:pt>
                <c:pt idx="628">
                  <c:v>335.11880308099688</c:v>
                </c:pt>
                <c:pt idx="629">
                  <c:v>336.71277175139221</c:v>
                </c:pt>
                <c:pt idx="630">
                  <c:v>338.30525472769966</c:v>
                </c:pt>
                <c:pt idx="631">
                  <c:v>339.89629986590546</c:v>
                </c:pt>
                <c:pt idx="632">
                  <c:v>341.4859535298026</c:v>
                </c:pt>
                <c:pt idx="633">
                  <c:v>343.07426048513088</c:v>
                </c:pt>
                <c:pt idx="634">
                  <c:v>344.66126378194502</c:v>
                </c:pt>
                <c:pt idx="635">
                  <c:v>346.24700462478734</c:v>
                </c:pt>
                <c:pt idx="636">
                  <c:v>347.83152223053497</c:v>
                </c:pt>
                <c:pt idx="637">
                  <c:v>349.41485367421296</c:v>
                </c:pt>
                <c:pt idx="638">
                  <c:v>350.99703372363155</c:v>
                </c:pt>
                <c:pt idx="639">
                  <c:v>352.57809466443666</c:v>
                </c:pt>
                <c:pt idx="640">
                  <c:v>354.15806611804953</c:v>
                </c:pt>
                <c:pt idx="641">
                  <c:v>355.73697485599149</c:v>
                </c:pt>
                <c:pt idx="642">
                  <c:v>357.31484461517903</c:v>
                </c:pt>
                <c:pt idx="643">
                  <c:v>358.89169591982784</c:v>
                </c:pt>
                <c:pt idx="644">
                  <c:v>360.4675459164834</c:v>
                </c:pt>
                <c:pt idx="645">
                  <c:v>362.04240822922424</c:v>
                </c:pt>
                <c:pt idx="646">
                  <c:v>363.61629284210136</c:v>
                </c:pt>
                <c:pt idx="647">
                  <c:v>365.18920601525173</c:v>
                </c:pt>
                <c:pt idx="648">
                  <c:v>366.76115023982084</c:v>
                </c:pt>
                <c:pt idx="649">
                  <c:v>368.33212423492182</c:v>
                </c:pt>
                <c:pt idx="650">
                  <c:v>369.90212298754705</c:v>
                </c:pt>
                <c:pt idx="651">
                  <c:v>371.47113783391399</c:v>
                </c:pt>
                <c:pt idx="652">
                  <c:v>373.03915657848501</c:v>
                </c:pt>
                <c:pt idx="653">
                  <c:v>374.60616364511975</c:v>
                </c:pt>
                <c:pt idx="654">
                  <c:v>376.1721402536707</c:v>
                </c:pt>
                <c:pt idx="655">
                  <c:v>377.73706461486853</c:v>
                </c:pt>
                <c:pt idx="656">
                  <c:v>379.3009121364999</c:v>
                </c:pt>
                <c:pt idx="657">
                  <c:v>380.86365563451795</c:v>
                </c:pt>
                <c:pt idx="658">
                  <c:v>382.42526554367089</c:v>
                </c:pt>
                <c:pt idx="659">
                  <c:v>383.98571012332189</c:v>
                </c:pt>
                <c:pt idx="660">
                  <c:v>385.54495565522416</c:v>
                </c:pt>
                <c:pt idx="661">
                  <c:v>387.10296663101951</c:v>
                </c:pt>
                <c:pt idx="662">
                  <c:v>388.65970592808696</c:v>
                </c:pt>
                <c:pt idx="663">
                  <c:v>390.21513497306427</c:v>
                </c:pt>
                <c:pt idx="664">
                  <c:v>391.76921389289919</c:v>
                </c:pt>
                <c:pt idx="665">
                  <c:v>393.32190165367672</c:v>
                </c:pt>
                <c:pt idx="666">
                  <c:v>394.87315618773545</c:v>
                </c:pt>
                <c:pt idx="667">
                  <c:v>396.42293450975518</c:v>
                </c:pt>
                <c:pt idx="668">
                  <c:v>397.97119282259303</c:v>
                </c:pt>
                <c:pt idx="669">
                  <c:v>399.51788661368317</c:v>
                </c:pt>
                <c:pt idx="670">
                  <c:v>401.06297074281815</c:v>
                </c:pt>
                <c:pt idx="671">
                  <c:v>402.60639952210084</c:v>
                </c:pt>
                <c:pt idx="672">
                  <c:v>404.14812678881691</c:v>
                </c:pt>
                <c:pt idx="673">
                  <c:v>405.68810597192379</c:v>
                </c:pt>
                <c:pt idx="674">
                  <c:v>407.22629015279676</c:v>
                </c:pt>
                <c:pt idx="675">
                  <c:v>408.76263212081579</c:v>
                </c:pt>
                <c:pt idx="676">
                  <c:v>410.29708442432104</c:v>
                </c:pt>
                <c:pt idx="677">
                  <c:v>411.82959941741137</c:v>
                </c:pt>
                <c:pt idx="678">
                  <c:v>413.36012930301155</c:v>
                </c:pt>
                <c:pt idx="679">
                  <c:v>414.88862617258803</c:v>
                </c:pt>
                <c:pt idx="680">
                  <c:v>416.41504204285235</c:v>
                </c:pt>
                <c:pt idx="681">
                  <c:v>417.93932888975337</c:v>
                </c:pt>
                <c:pt idx="682">
                  <c:v>419.46143868002645</c:v>
                </c:pt>
                <c:pt idx="683">
                  <c:v>420.98132340053809</c:v>
                </c:pt>
                <c:pt idx="684">
                  <c:v>422.49893508563764</c:v>
                </c:pt>
                <c:pt idx="685">
                  <c:v>424.01422584270409</c:v>
                </c:pt>
                <c:pt idx="686">
                  <c:v>425.52714787605549</c:v>
                </c:pt>
                <c:pt idx="687">
                  <c:v>427.03765350936931</c:v>
                </c:pt>
                <c:pt idx="688">
                  <c:v>428.54569520674642</c:v>
                </c:pt>
                <c:pt idx="689">
                  <c:v>430.05122559253664</c:v>
                </c:pt>
                <c:pt idx="690">
                  <c:v>431.55419747003043</c:v>
                </c:pt>
                <c:pt idx="691">
                  <c:v>433.05456383911121</c:v>
                </c:pt>
                <c:pt idx="692">
                  <c:v>434.55227791295135</c:v>
                </c:pt>
                <c:pt idx="693">
                  <c:v>436.04729313382728</c:v>
                </c:pt>
                <c:pt idx="694">
                  <c:v>437.53956318812021</c:v>
                </c:pt>
                <c:pt idx="695">
                  <c:v>439.02904202056317</c:v>
                </c:pt>
                <c:pt idx="696">
                  <c:v>440.51568384778778</c:v>
                </c:pt>
                <c:pt idx="697">
                  <c:v>441.99944317121924</c:v>
                </c:pt>
                <c:pt idx="698">
                  <c:v>443.48027478936336</c:v>
                </c:pt>
                <c:pt idx="699">
                  <c:v>444.95813380952461</c:v>
                </c:pt>
                <c:pt idx="700">
                  <c:v>446.43297565899076</c:v>
                </c:pt>
                <c:pt idx="701">
                  <c:v>447.90475609571587</c:v>
                </c:pt>
                <c:pt idx="702">
                  <c:v>449.37343121853087</c:v>
                </c:pt>
                <c:pt idx="703">
                  <c:v>450.8389574769073</c:v>
                </c:pt>
                <c:pt idx="704">
                  <c:v>452.30129168029873</c:v>
                </c:pt>
                <c:pt idx="705">
                  <c:v>453.76039100708073</c:v>
                </c:pt>
                <c:pt idx="706">
                  <c:v>455.21621301310921</c:v>
                </c:pt>
                <c:pt idx="707">
                  <c:v>456.66871563991532</c:v>
                </c:pt>
                <c:pt idx="708">
                  <c:v>458.11785722255257</c:v>
                </c:pt>
                <c:pt idx="709">
                  <c:v>459.56359649711152</c:v>
                </c:pt>
                <c:pt idx="710">
                  <c:v>461.00589260791543</c:v>
                </c:pt>
                <c:pt idx="711">
                  <c:v>462.44470511440943</c:v>
                </c:pt>
                <c:pt idx="712">
                  <c:v>463.87999399775487</c:v>
                </c:pt>
                <c:pt idx="713">
                  <c:v>465.31171966713868</c:v>
                </c:pt>
                <c:pt idx="714">
                  <c:v>466.73984296580841</c:v>
                </c:pt>
                <c:pt idx="715">
                  <c:v>468.16432517684137</c:v>
                </c:pt>
                <c:pt idx="716">
                  <c:v>469.58512802865619</c:v>
                </c:pt>
                <c:pt idx="717">
                  <c:v>471.00221370027435</c:v>
                </c:pt>
                <c:pt idx="718">
                  <c:v>472.41554482633973</c:v>
                </c:pt>
                <c:pt idx="719">
                  <c:v>473.82508450190136</c:v>
                </c:pt>
                <c:pt idx="720">
                  <c:v>475.23079628696706</c:v>
                </c:pt>
                <c:pt idx="721">
                  <c:v>476.63264421083284</c:v>
                </c:pt>
                <c:pt idx="722">
                  <c:v>478.03059277619383</c:v>
                </c:pt>
                <c:pt idx="723">
                  <c:v>479.42460696304198</c:v>
                </c:pt>
                <c:pt idx="724">
                  <c:v>480.81465223235512</c:v>
                </c:pt>
                <c:pt idx="725">
                  <c:v>482.20069452958217</c:v>
                </c:pt>
                <c:pt idx="726">
                  <c:v>483.58270028792896</c:v>
                </c:pt>
                <c:pt idx="727">
                  <c:v>484.96063643144811</c:v>
                </c:pt>
                <c:pt idx="728">
                  <c:v>486.33447037793786</c:v>
                </c:pt>
                <c:pt idx="729">
                  <c:v>487.70417004165296</c:v>
                </c:pt>
                <c:pt idx="730">
                  <c:v>489.06970383583121</c:v>
                </c:pt>
                <c:pt idx="731">
                  <c:v>490.43104067503941</c:v>
                </c:pt>
                <c:pt idx="732">
                  <c:v>491.78814997734207</c:v>
                </c:pt>
                <c:pt idx="733">
                  <c:v>493.14100166629555</c:v>
                </c:pt>
                <c:pt idx="734">
                  <c:v>494.48956617277145</c:v>
                </c:pt>
                <c:pt idx="735">
                  <c:v>495.83381443661159</c:v>
                </c:pt>
                <c:pt idx="736">
                  <c:v>497.17371790811825</c:v>
                </c:pt>
                <c:pt idx="737">
                  <c:v>498.50924854938171</c:v>
                </c:pt>
                <c:pt idx="738">
                  <c:v>499.84037883544858</c:v>
                </c:pt>
                <c:pt idx="739">
                  <c:v>501.16708175533313</c:v>
                </c:pt>
                <c:pt idx="740">
                  <c:v>502.4893308128747</c:v>
                </c:pt>
                <c:pt idx="741">
                  <c:v>503.80710002744337</c:v>
                </c:pt>
                <c:pt idx="742">
                  <c:v>505.12036393449716</c:v>
                </c:pt>
                <c:pt idx="743">
                  <c:v>506.42909758599234</c:v>
                </c:pt>
                <c:pt idx="744">
                  <c:v>507.73327655065026</c:v>
                </c:pt>
                <c:pt idx="745">
                  <c:v>509.03287691408275</c:v>
                </c:pt>
                <c:pt idx="746">
                  <c:v>510.32787527877855</c:v>
                </c:pt>
                <c:pt idx="747">
                  <c:v>511.61824876395326</c:v>
                </c:pt>
                <c:pt idx="748">
                  <c:v>512.90397500526512</c:v>
                </c:pt>
                <c:pt idx="749">
                  <c:v>514.18503215439955</c:v>
                </c:pt>
                <c:pt idx="750">
                  <c:v>515.46139887852348</c:v>
                </c:pt>
                <c:pt idx="751">
                  <c:v>516.73305435961367</c:v>
                </c:pt>
                <c:pt idx="752">
                  <c:v>517.99997829365998</c:v>
                </c:pt>
                <c:pt idx="753">
                  <c:v>519.26215088974618</c:v>
                </c:pt>
                <c:pt idx="754">
                  <c:v>520.51955286901114</c:v>
                </c:pt>
                <c:pt idx="755">
                  <c:v>521.77216546349212</c:v>
                </c:pt>
                <c:pt idx="756">
                  <c:v>523.01997041485276</c:v>
                </c:pt>
                <c:pt idx="757">
                  <c:v>524.26294997299829</c:v>
                </c:pt>
                <c:pt idx="758">
                  <c:v>525.5010868945792</c:v>
                </c:pt>
                <c:pt idx="759">
                  <c:v>526.73436444138736</c:v>
                </c:pt>
                <c:pt idx="760">
                  <c:v>527.96276637864503</c:v>
                </c:pt>
                <c:pt idx="761">
                  <c:v>529.1862769731905</c:v>
                </c:pt>
                <c:pt idx="762">
                  <c:v>530.40488099156187</c:v>
                </c:pt>
                <c:pt idx="763">
                  <c:v>531.6185636979809</c:v>
                </c:pt>
                <c:pt idx="764">
                  <c:v>532.82731085224032</c:v>
                </c:pt>
                <c:pt idx="765">
                  <c:v>534.03110870749549</c:v>
                </c:pt>
                <c:pt idx="766">
                  <c:v>535.22994400796404</c:v>
                </c:pt>
                <c:pt idx="767">
                  <c:v>536.42380398653415</c:v>
                </c:pt>
                <c:pt idx="768">
                  <c:v>537.61267636228479</c:v>
                </c:pt>
                <c:pt idx="769">
                  <c:v>538.79654933791994</c:v>
                </c:pt>
                <c:pt idx="770">
                  <c:v>539.97541159711886</c:v>
                </c:pt>
                <c:pt idx="771">
                  <c:v>541.14925230180449</c:v>
                </c:pt>
                <c:pt idx="772">
                  <c:v>542.31806108933222</c:v>
                </c:pt>
                <c:pt idx="773">
                  <c:v>543.48182806960119</c:v>
                </c:pt>
                <c:pt idx="774">
                  <c:v>544.64054382209065</c:v>
                </c:pt>
                <c:pt idx="775">
                  <c:v>545.79419939282297</c:v>
                </c:pt>
                <c:pt idx="776">
                  <c:v>546.94278629125552</c:v>
                </c:pt>
                <c:pt idx="777">
                  <c:v>548.08629648710405</c:v>
                </c:pt>
                <c:pt idx="778">
                  <c:v>549.22472240709908</c:v>
                </c:pt>
                <c:pt idx="779">
                  <c:v>550.35805693167777</c:v>
                </c:pt>
                <c:pt idx="780">
                  <c:v>551.486293391613</c:v>
                </c:pt>
                <c:pt idx="781">
                  <c:v>552.60942556458258</c:v>
                </c:pt>
                <c:pt idx="782">
                  <c:v>553.72744767167922</c:v>
                </c:pt>
                <c:pt idx="783">
                  <c:v>554.84035437386444</c:v>
                </c:pt>
                <c:pt idx="784">
                  <c:v>555.9481407683686</c:v>
                </c:pt>
                <c:pt idx="785">
                  <c:v>557.05080238503785</c:v>
                </c:pt>
                <c:pt idx="786">
                  <c:v>558.14833518263117</c:v>
                </c:pt>
                <c:pt idx="787">
                  <c:v>559.24073554506901</c:v>
                </c:pt>
                <c:pt idx="788">
                  <c:v>560.32800027763528</c:v>
                </c:pt>
                <c:pt idx="789">
                  <c:v>561.41012660313538</c:v>
                </c:pt>
                <c:pt idx="790">
                  <c:v>562.48711215801109</c:v>
                </c:pt>
                <c:pt idx="791">
                  <c:v>563.55895498841528</c:v>
                </c:pt>
                <c:pt idx="792">
                  <c:v>564.62565354624758</c:v>
                </c:pt>
                <c:pt idx="793">
                  <c:v>565.68720668515346</c:v>
                </c:pt>
                <c:pt idx="794">
                  <c:v>566.74361365648815</c:v>
                </c:pt>
                <c:pt idx="795">
                  <c:v>567.79487410524723</c:v>
                </c:pt>
                <c:pt idx="796">
                  <c:v>568.84098806596592</c:v>
                </c:pt>
                <c:pt idx="797">
                  <c:v>569.88195595858906</c:v>
                </c:pt>
                <c:pt idx="798">
                  <c:v>570.9177785843126</c:v>
                </c:pt>
                <c:pt idx="799">
                  <c:v>571.94845712139954</c:v>
                </c:pt>
                <c:pt idx="800">
                  <c:v>572.97399312097116</c:v>
                </c:pt>
                <c:pt idx="801">
                  <c:v>573.99438850277579</c:v>
                </c:pt>
                <c:pt idx="802">
                  <c:v>575.0096455509364</c:v>
                </c:pt>
                <c:pt idx="803">
                  <c:v>576.01976690967842</c:v>
                </c:pt>
                <c:pt idx="804">
                  <c:v>577.02475557904086</c:v>
                </c:pt>
                <c:pt idx="805">
                  <c:v>578.02461491056988</c:v>
                </c:pt>
                <c:pt idx="806">
                  <c:v>579.01934860299889</c:v>
                </c:pt>
                <c:pt idx="807">
                  <c:v>580.00896069791509</c:v>
                </c:pt>
                <c:pt idx="808">
                  <c:v>580.99345557541437</c:v>
                </c:pt>
                <c:pt idx="809">
                  <c:v>581.97283794974669</c:v>
                </c:pt>
                <c:pt idx="810">
                  <c:v>582.94711286495226</c:v>
                </c:pt>
                <c:pt idx="811">
                  <c:v>583.91628569049124</c:v>
                </c:pt>
                <c:pt idx="812">
                  <c:v>584.8803621168671</c:v>
                </c:pt>
                <c:pt idx="813">
                  <c:v>585.83934815124655</c:v>
                </c:pt>
                <c:pt idx="814">
                  <c:v>586.79325011307537</c:v>
                </c:pt>
                <c:pt idx="815">
                  <c:v>587.742074629694</c:v>
                </c:pt>
                <c:pt idx="816">
                  <c:v>588.68582863195172</c:v>
                </c:pt>
                <c:pt idx="817">
                  <c:v>589.62451934982255</c:v>
                </c:pt>
                <c:pt idx="818">
                  <c:v>590.55815430802329</c:v>
                </c:pt>
                <c:pt idx="819">
                  <c:v>591.4867413216349</c:v>
                </c:pt>
                <c:pt idx="820">
                  <c:v>592.41028849172892</c:v>
                </c:pt>
                <c:pt idx="821">
                  <c:v>593.32880420099957</c:v>
                </c:pt>
                <c:pt idx="822">
                  <c:v>594.24229710940301</c:v>
                </c:pt>
                <c:pt idx="823">
                  <c:v>595.1507761498051</c:v>
                </c:pt>
                <c:pt idx="824">
                  <c:v>596.05425052363819</c:v>
                </c:pt>
                <c:pt idx="825">
                  <c:v>596.9527296965681</c:v>
                </c:pt>
                <c:pt idx="826">
                  <c:v>597.84622339417342</c:v>
                </c:pt>
                <c:pt idx="827">
                  <c:v>598.73474159763646</c:v>
                </c:pt>
                <c:pt idx="828">
                  <c:v>599.61829453944802</c:v>
                </c:pt>
                <c:pt idx="829">
                  <c:v>600.49689269912676</c:v>
                </c:pt>
                <c:pt idx="830">
                  <c:v>601.3705467989538</c:v>
                </c:pt>
                <c:pt idx="831">
                  <c:v>602.23926779972396</c:v>
                </c:pt>
                <c:pt idx="832">
                  <c:v>603.10306689651384</c:v>
                </c:pt>
                <c:pt idx="833">
                  <c:v>603.96195551446851</c:v>
                </c:pt>
                <c:pt idx="834">
                  <c:v>604.81594530460688</c:v>
                </c:pt>
                <c:pt idx="835">
                  <c:v>605.66504813964707</c:v>
                </c:pt>
                <c:pt idx="836">
                  <c:v>606.50927610985218</c:v>
                </c:pt>
                <c:pt idx="837">
                  <c:v>607.34864151889758</c:v>
                </c:pt>
                <c:pt idx="838">
                  <c:v>608.18315687976053</c:v>
                </c:pt>
                <c:pt idx="839">
                  <c:v>609.01283491063248</c:v>
                </c:pt>
                <c:pt idx="840">
                  <c:v>609.83768853085473</c:v>
                </c:pt>
                <c:pt idx="841">
                  <c:v>610.65773085687874</c:v>
                </c:pt>
                <c:pt idx="842">
                  <c:v>611.47297519825145</c:v>
                </c:pt>
                <c:pt idx="843">
                  <c:v>612.28343505362557</c:v>
                </c:pt>
                <c:pt idx="844">
                  <c:v>613.08912410679648</c:v>
                </c:pt>
                <c:pt idx="845">
                  <c:v>613.89005622276591</c:v>
                </c:pt>
                <c:pt idx="846">
                  <c:v>614.68624544383272</c:v>
                </c:pt>
                <c:pt idx="847">
                  <c:v>615.47770598571162</c:v>
                </c:pt>
                <c:pt idx="848">
                  <c:v>616.26445223368046</c:v>
                </c:pt>
                <c:pt idx="849">
                  <c:v>617.04649873875599</c:v>
                </c:pt>
                <c:pt idx="850">
                  <c:v>617.82386021389925</c:v>
                </c:pt>
                <c:pt idx="851">
                  <c:v>618.59655153025108</c:v>
                </c:pt>
                <c:pt idx="852">
                  <c:v>619.36458771339733</c:v>
                </c:pt>
                <c:pt idx="853">
                  <c:v>620.12798393966511</c:v>
                </c:pt>
                <c:pt idx="854">
                  <c:v>620.88675553244968</c:v>
                </c:pt>
                <c:pt idx="855">
                  <c:v>621.64091795857371</c:v>
                </c:pt>
                <c:pt idx="856">
                  <c:v>622.39048682467728</c:v>
                </c:pt>
                <c:pt idx="857">
                  <c:v>623.13547787364075</c:v>
                </c:pt>
                <c:pt idx="858">
                  <c:v>623.87590698103963</c:v>
                </c:pt>
                <c:pt idx="859">
                  <c:v>624.61179015163282</c:v>
                </c:pt>
                <c:pt idx="860">
                  <c:v>625.34314351588318</c:v>
                </c:pt>
                <c:pt idx="861">
                  <c:v>626.06998332651199</c:v>
                </c:pt>
                <c:pt idx="862">
                  <c:v>626.79232595508665</c:v>
                </c:pt>
                <c:pt idx="863">
                  <c:v>627.51018788864246</c:v>
                </c:pt>
                <c:pt idx="864">
                  <c:v>628.22358572633811</c:v>
                </c:pt>
                <c:pt idx="865">
                  <c:v>628.93253617614562</c:v>
                </c:pt>
                <c:pt idx="866">
                  <c:v>629.6370560515744</c:v>
                </c:pt>
                <c:pt idx="867">
                  <c:v>630.33716226843023</c:v>
                </c:pt>
                <c:pt idx="868">
                  <c:v>631.03287184160877</c:v>
                </c:pt>
                <c:pt idx="869">
                  <c:v>631.72420188192359</c:v>
                </c:pt>
                <c:pt idx="870">
                  <c:v>632.41116959296983</c:v>
                </c:pt>
                <c:pt idx="871">
                  <c:v>633.09379226802241</c:v>
                </c:pt>
                <c:pt idx="872">
                  <c:v>633.77208728696939</c:v>
                </c:pt>
                <c:pt idx="873">
                  <c:v>634.44607211328116</c:v>
                </c:pt>
                <c:pt idx="874">
                  <c:v>635.11576429101387</c:v>
                </c:pt>
                <c:pt idx="875">
                  <c:v>635.78118144184918</c:v>
                </c:pt>
                <c:pt idx="876">
                  <c:v>636.44234126216907</c:v>
                </c:pt>
                <c:pt idx="877">
                  <c:v>637.09926152016578</c:v>
                </c:pt>
                <c:pt idx="878">
                  <c:v>637.75196005298756</c:v>
                </c:pt>
                <c:pt idx="879">
                  <c:v>638.40045476391947</c:v>
                </c:pt>
                <c:pt idx="880">
                  <c:v>638.40045476391947</c:v>
                </c:pt>
                <c:pt idx="881">
                  <c:v>638.40045476391947</c:v>
                </c:pt>
                <c:pt idx="882">
                  <c:v>638.40045476391947</c:v>
                </c:pt>
                <c:pt idx="883">
                  <c:v>638.40045476391947</c:v>
                </c:pt>
                <c:pt idx="884">
                  <c:v>638.40045476391947</c:v>
                </c:pt>
                <c:pt idx="885">
                  <c:v>638.40045476391947</c:v>
                </c:pt>
                <c:pt idx="886">
                  <c:v>638.40045476391947</c:v>
                </c:pt>
                <c:pt idx="887">
                  <c:v>638.40045476391947</c:v>
                </c:pt>
                <c:pt idx="888">
                  <c:v>638.40045476391947</c:v>
                </c:pt>
                <c:pt idx="889">
                  <c:v>638.40045476391947</c:v>
                </c:pt>
                <c:pt idx="890">
                  <c:v>638.40045476391947</c:v>
                </c:pt>
                <c:pt idx="891">
                  <c:v>638.40045476391947</c:v>
                </c:pt>
                <c:pt idx="892">
                  <c:v>638.40045476391947</c:v>
                </c:pt>
                <c:pt idx="893">
                  <c:v>638.40045476391947</c:v>
                </c:pt>
                <c:pt idx="894">
                  <c:v>638.40045476391947</c:v>
                </c:pt>
                <c:pt idx="895">
                  <c:v>638.40045476391947</c:v>
                </c:pt>
                <c:pt idx="896">
                  <c:v>638.40045476391947</c:v>
                </c:pt>
                <c:pt idx="897">
                  <c:v>638.40045476391947</c:v>
                </c:pt>
                <c:pt idx="898">
                  <c:v>638.40045476391947</c:v>
                </c:pt>
                <c:pt idx="899">
                  <c:v>638.40045476391947</c:v>
                </c:pt>
                <c:pt idx="900">
                  <c:v>638.40045476391947</c:v>
                </c:pt>
                <c:pt idx="901">
                  <c:v>638.40045476391947</c:v>
                </c:pt>
                <c:pt idx="902">
                  <c:v>638.40045476391947</c:v>
                </c:pt>
                <c:pt idx="903">
                  <c:v>638.40045476391947</c:v>
                </c:pt>
                <c:pt idx="904">
                  <c:v>638.40045476391947</c:v>
                </c:pt>
                <c:pt idx="905">
                  <c:v>638.40045476391947</c:v>
                </c:pt>
                <c:pt idx="906">
                  <c:v>638.40045476391947</c:v>
                </c:pt>
                <c:pt idx="907">
                  <c:v>638.40045476391947</c:v>
                </c:pt>
                <c:pt idx="908">
                  <c:v>638.40045476391947</c:v>
                </c:pt>
                <c:pt idx="909">
                  <c:v>638.40045476391947</c:v>
                </c:pt>
                <c:pt idx="910">
                  <c:v>638.40045476391947</c:v>
                </c:pt>
                <c:pt idx="911">
                  <c:v>638.40045476391947</c:v>
                </c:pt>
                <c:pt idx="912">
                  <c:v>638.40045476391947</c:v>
                </c:pt>
                <c:pt idx="913">
                  <c:v>638.40045476391947</c:v>
                </c:pt>
                <c:pt idx="914">
                  <c:v>638.40045476391947</c:v>
                </c:pt>
                <c:pt idx="915">
                  <c:v>638.40045476391947</c:v>
                </c:pt>
                <c:pt idx="916">
                  <c:v>638.40045476391947</c:v>
                </c:pt>
                <c:pt idx="917">
                  <c:v>638.40045476391947</c:v>
                </c:pt>
                <c:pt idx="918">
                  <c:v>638.40045476391947</c:v>
                </c:pt>
                <c:pt idx="919">
                  <c:v>638.40045476391947</c:v>
                </c:pt>
                <c:pt idx="920">
                  <c:v>638.40045476391947</c:v>
                </c:pt>
                <c:pt idx="921">
                  <c:v>638.40045476391947</c:v>
                </c:pt>
                <c:pt idx="922">
                  <c:v>638.40045476391947</c:v>
                </c:pt>
                <c:pt idx="923">
                  <c:v>638.40045476391947</c:v>
                </c:pt>
                <c:pt idx="924">
                  <c:v>638.40045476391947</c:v>
                </c:pt>
                <c:pt idx="925">
                  <c:v>638.40045476391947</c:v>
                </c:pt>
                <c:pt idx="926">
                  <c:v>638.40045476391947</c:v>
                </c:pt>
                <c:pt idx="927">
                  <c:v>638.40045476391947</c:v>
                </c:pt>
                <c:pt idx="928">
                  <c:v>638.40045476391947</c:v>
                </c:pt>
                <c:pt idx="929">
                  <c:v>638.40045476391947</c:v>
                </c:pt>
                <c:pt idx="930">
                  <c:v>638.40045476391947</c:v>
                </c:pt>
                <c:pt idx="931">
                  <c:v>638.40045476391947</c:v>
                </c:pt>
                <c:pt idx="932">
                  <c:v>638.40045476391947</c:v>
                </c:pt>
                <c:pt idx="933">
                  <c:v>638.40045476391947</c:v>
                </c:pt>
                <c:pt idx="934">
                  <c:v>638.40045476391947</c:v>
                </c:pt>
                <c:pt idx="935">
                  <c:v>638.40045476391947</c:v>
                </c:pt>
                <c:pt idx="936">
                  <c:v>638.40045476391947</c:v>
                </c:pt>
                <c:pt idx="937">
                  <c:v>638.40045476391947</c:v>
                </c:pt>
                <c:pt idx="938">
                  <c:v>638.40045476391947</c:v>
                </c:pt>
                <c:pt idx="939">
                  <c:v>638.40045476391947</c:v>
                </c:pt>
                <c:pt idx="940">
                  <c:v>638.40045476391947</c:v>
                </c:pt>
                <c:pt idx="941">
                  <c:v>638.40045476391947</c:v>
                </c:pt>
                <c:pt idx="942">
                  <c:v>638.40045476391947</c:v>
                </c:pt>
                <c:pt idx="943">
                  <c:v>638.40045476391947</c:v>
                </c:pt>
                <c:pt idx="944">
                  <c:v>638.40045476391947</c:v>
                </c:pt>
                <c:pt idx="945">
                  <c:v>638.40045476391947</c:v>
                </c:pt>
                <c:pt idx="946">
                  <c:v>638.40045476391947</c:v>
                </c:pt>
                <c:pt idx="947">
                  <c:v>638.40045476391947</c:v>
                </c:pt>
                <c:pt idx="948">
                  <c:v>638.40045476391947</c:v>
                </c:pt>
                <c:pt idx="949">
                  <c:v>638.40045476391947</c:v>
                </c:pt>
                <c:pt idx="950">
                  <c:v>638.40045476391947</c:v>
                </c:pt>
                <c:pt idx="951">
                  <c:v>638.40045476391947</c:v>
                </c:pt>
                <c:pt idx="952">
                  <c:v>638.40045476391947</c:v>
                </c:pt>
                <c:pt idx="953">
                  <c:v>638.40045476391947</c:v>
                </c:pt>
                <c:pt idx="954">
                  <c:v>638.40045476391947</c:v>
                </c:pt>
                <c:pt idx="955">
                  <c:v>638.40045476391947</c:v>
                </c:pt>
                <c:pt idx="956">
                  <c:v>638.40045476391947</c:v>
                </c:pt>
                <c:pt idx="957">
                  <c:v>638.40045476391947</c:v>
                </c:pt>
                <c:pt idx="958">
                  <c:v>638.40045476391947</c:v>
                </c:pt>
                <c:pt idx="959">
                  <c:v>638.40045476391947</c:v>
                </c:pt>
                <c:pt idx="960">
                  <c:v>638.40045476391947</c:v>
                </c:pt>
                <c:pt idx="961">
                  <c:v>638.40045476391947</c:v>
                </c:pt>
                <c:pt idx="962">
                  <c:v>638.40045476391947</c:v>
                </c:pt>
                <c:pt idx="963">
                  <c:v>638.40045476391947</c:v>
                </c:pt>
                <c:pt idx="964">
                  <c:v>638.40045476391947</c:v>
                </c:pt>
                <c:pt idx="965">
                  <c:v>638.40045476391947</c:v>
                </c:pt>
                <c:pt idx="966">
                  <c:v>638.40045476391947</c:v>
                </c:pt>
                <c:pt idx="967">
                  <c:v>638.40045476391947</c:v>
                </c:pt>
                <c:pt idx="968">
                  <c:v>638.40045476391947</c:v>
                </c:pt>
                <c:pt idx="969">
                  <c:v>638.40045476391947</c:v>
                </c:pt>
                <c:pt idx="970">
                  <c:v>638.40045476391947</c:v>
                </c:pt>
                <c:pt idx="971">
                  <c:v>638.40045476391947</c:v>
                </c:pt>
                <c:pt idx="972">
                  <c:v>638.40045476391947</c:v>
                </c:pt>
                <c:pt idx="973">
                  <c:v>638.40045476391947</c:v>
                </c:pt>
                <c:pt idx="974">
                  <c:v>638.40045476391947</c:v>
                </c:pt>
                <c:pt idx="975">
                  <c:v>638.40045476391947</c:v>
                </c:pt>
                <c:pt idx="976">
                  <c:v>638.40045476391947</c:v>
                </c:pt>
                <c:pt idx="977">
                  <c:v>638.40045476391947</c:v>
                </c:pt>
                <c:pt idx="978">
                  <c:v>638.40045476391947</c:v>
                </c:pt>
                <c:pt idx="979">
                  <c:v>638.40045476391947</c:v>
                </c:pt>
                <c:pt idx="980">
                  <c:v>638.40045476391947</c:v>
                </c:pt>
                <c:pt idx="981">
                  <c:v>638.40045476391947</c:v>
                </c:pt>
                <c:pt idx="982">
                  <c:v>638.40045476391947</c:v>
                </c:pt>
                <c:pt idx="983">
                  <c:v>638.40045476391947</c:v>
                </c:pt>
                <c:pt idx="984">
                  <c:v>638.40045476391947</c:v>
                </c:pt>
                <c:pt idx="985">
                  <c:v>638.40045476391947</c:v>
                </c:pt>
                <c:pt idx="986">
                  <c:v>638.40045476391947</c:v>
                </c:pt>
                <c:pt idx="987">
                  <c:v>638.40045476391947</c:v>
                </c:pt>
                <c:pt idx="988">
                  <c:v>638.40045476391947</c:v>
                </c:pt>
                <c:pt idx="989">
                  <c:v>638.40045476391947</c:v>
                </c:pt>
                <c:pt idx="990">
                  <c:v>638.40045476391947</c:v>
                </c:pt>
                <c:pt idx="991">
                  <c:v>638.40045476391947</c:v>
                </c:pt>
                <c:pt idx="992">
                  <c:v>638.40045476391947</c:v>
                </c:pt>
                <c:pt idx="993">
                  <c:v>638.40045476391947</c:v>
                </c:pt>
                <c:pt idx="994">
                  <c:v>638.40045476391947</c:v>
                </c:pt>
                <c:pt idx="995">
                  <c:v>638.40045476391947</c:v>
                </c:pt>
                <c:pt idx="996">
                  <c:v>638.40045476391947</c:v>
                </c:pt>
                <c:pt idx="997">
                  <c:v>638.40045476391947</c:v>
                </c:pt>
                <c:pt idx="998">
                  <c:v>638.40045476391947</c:v>
                </c:pt>
                <c:pt idx="999">
                  <c:v>638.40045476391947</c:v>
                </c:pt>
                <c:pt idx="1000">
                  <c:v>638.40045476391947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3B-6442-AFEC-07E56791BA28}"/>
            </c:ext>
          </c:extLst>
        </c:ser>
        <c:ser>
          <c:idx val="6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Trajecto!$D$155</c:f>
              <c:numCache>
                <c:formatCode>0</c:formatCode>
                <c:ptCount val="1"/>
                <c:pt idx="0">
                  <c:v>88.539516529512383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1000.78241432312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3B-6442-AFEC-07E56791BA28}"/>
            </c:ext>
          </c:extLst>
        </c:ser>
        <c:ser>
          <c:idx val="7"/>
          <c:order val="6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Trajecto!$D$156</c:f>
              <c:numCache>
                <c:formatCode>0</c:formatCode>
                <c:ptCount val="1"/>
                <c:pt idx="0">
                  <c:v>546.80573412331341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1001.767878948463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B-6442-AFEC-07E56791BA28}"/>
            </c:ext>
          </c:extLst>
        </c:ser>
        <c:ser>
          <c:idx val="8"/>
          <c:order val="7"/>
          <c:tx>
            <c:strRef>
              <c:f>Trajecto!$D$158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8"/>
              <c:tx>
                <c:strRef>
                  <c:f>Trajecto!$D$158</c:f>
                  <c:strCache>
                    <c:ptCount val="1"/>
                    <c:pt idx="0">
                      <c:v>Arc de triomphe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{43D4166E-3A0C-42A6-B374-B2E9BE753F5C}</c15:txfldGUID>
                      <c15:f>Trajecto!$D$158</c15:f>
                      <c15:dlblFieldTableCache>
                        <c:ptCount val="1"/>
                        <c:pt idx="0">
                          <c:v>Arc de triomphe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Trajecto!$D$159:$D$174</c:f>
              <c:numCache>
                <c:formatCode>0</c:formatCode>
                <c:ptCount val="16"/>
                <c:pt idx="0">
                  <c:v>363.61629284210136</c:v>
                </c:pt>
                <c:pt idx="1">
                  <c:v>386.61629284210136</c:v>
                </c:pt>
                <c:pt idx="2">
                  <c:v>386.61629284210136</c:v>
                </c:pt>
                <c:pt idx="3">
                  <c:v>363.61629284210136</c:v>
                </c:pt>
                <c:pt idx="4">
                  <c:v>386.61629284210136</c:v>
                </c:pt>
                <c:pt idx="5">
                  <c:v>386.61629284210136</c:v>
                </c:pt>
                <c:pt idx="6">
                  <c:v>371.61629284210136</c:v>
                </c:pt>
                <c:pt idx="7">
                  <c:v>371.61629284210136</c:v>
                </c:pt>
                <c:pt idx="8">
                  <c:v>386.61629284210136</c:v>
                </c:pt>
                <c:pt idx="9">
                  <c:v>371.61629284210136</c:v>
                </c:pt>
                <c:pt idx="10">
                  <c:v>371.21629284210138</c:v>
                </c:pt>
                <c:pt idx="11">
                  <c:v>370.41629284210137</c:v>
                </c:pt>
                <c:pt idx="12">
                  <c:v>369.61629284210136</c:v>
                </c:pt>
                <c:pt idx="13">
                  <c:v>368.61629284210136</c:v>
                </c:pt>
                <c:pt idx="14">
                  <c:v>367.41629284210137</c:v>
                </c:pt>
                <c:pt idx="15">
                  <c:v>363.61629284210136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B-6442-AFEC-07E56791BA28}"/>
            </c:ext>
          </c:extLst>
        </c:ser>
        <c:ser>
          <c:idx val="9"/>
          <c:order val="8"/>
          <c:tx>
            <c:strRef>
              <c:f>Trajecto!$F$158</c:f>
              <c:strCache>
                <c:ptCount val="1"/>
                <c:pt idx="0">
                  <c:v>Arc de triomphe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Trajecto!$F$159:$F$174</c:f>
              <c:numCache>
                <c:formatCode>0</c:formatCode>
                <c:ptCount val="16"/>
                <c:pt idx="0">
                  <c:v>363.61629284210136</c:v>
                </c:pt>
                <c:pt idx="1">
                  <c:v>340.61629284210136</c:v>
                </c:pt>
                <c:pt idx="2">
                  <c:v>340.61629284210136</c:v>
                </c:pt>
                <c:pt idx="3">
                  <c:v>363.61629284210136</c:v>
                </c:pt>
                <c:pt idx="4">
                  <c:v>340.61629284210136</c:v>
                </c:pt>
                <c:pt idx="5">
                  <c:v>340.61629284210136</c:v>
                </c:pt>
                <c:pt idx="6">
                  <c:v>355.61629284210136</c:v>
                </c:pt>
                <c:pt idx="7">
                  <c:v>355.61629284210136</c:v>
                </c:pt>
                <c:pt idx="8">
                  <c:v>340.61629284210136</c:v>
                </c:pt>
                <c:pt idx="9">
                  <c:v>355.61629284210136</c:v>
                </c:pt>
                <c:pt idx="10">
                  <c:v>356.01629284210134</c:v>
                </c:pt>
                <c:pt idx="11">
                  <c:v>356.81629284210135</c:v>
                </c:pt>
                <c:pt idx="12">
                  <c:v>357.61629284210136</c:v>
                </c:pt>
                <c:pt idx="13">
                  <c:v>358.61629284210136</c:v>
                </c:pt>
                <c:pt idx="14">
                  <c:v>359.81629284210135</c:v>
                </c:pt>
                <c:pt idx="15">
                  <c:v>363.61629284210136</c:v>
                </c:pt>
              </c:numCache>
            </c:numRef>
          </c:xVal>
          <c:yVal>
            <c:numRef>
              <c:f>Trajecto!$B$161:$B$176</c:f>
              <c:numCache>
                <c:formatCode>General</c:formatCode>
                <c:ptCount val="1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B-6442-AFEC-07E56791BA28}"/>
            </c:ext>
          </c:extLst>
        </c:ser>
        <c:ser>
          <c:idx val="10"/>
          <c:order val="9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dLbls>
            <c:dLbl>
              <c:idx val="6"/>
              <c:tx>
                <c:strRef>
                  <c:f>Trajecto!$D$176</c:f>
                  <c:strCache>
                    <c:ptCount val="1"/>
                    <c:pt idx="0">
                      <c:v>Tour Eiffel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0" i="0" u="none" strike="noStrike" baseline="0">
                      <a:solidFill>
                        <a:srgbClr val="C0C0C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{36E3B3B5-F557-4848-B663-C2190B480ED6}</c15:txfldGUID>
                      <c15:f>Trajecto!$D$176</c15:f>
                      <c15:dlblFieldTableCache>
                        <c:ptCount val="1"/>
                        <c:pt idx="0">
                          <c:v>Tour Eiffel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Trajecto!$D$177:$D$193</c:f>
              <c:numCache>
                <c:formatCode>0</c:formatCode>
                <c:ptCount val="17"/>
                <c:pt idx="0">
                  <c:v>363.61629284210136</c:v>
                </c:pt>
                <c:pt idx="1">
                  <c:v>363.61629284210136</c:v>
                </c:pt>
                <c:pt idx="2">
                  <c:v>373.61629284210136</c:v>
                </c:pt>
                <c:pt idx="3">
                  <c:v>363.61629284210136</c:v>
                </c:pt>
                <c:pt idx="4">
                  <c:v>373.61629284210136</c:v>
                </c:pt>
                <c:pt idx="5">
                  <c:v>376.61629284210136</c:v>
                </c:pt>
                <c:pt idx="6">
                  <c:v>380.61629284210136</c:v>
                </c:pt>
                <c:pt idx="7">
                  <c:v>383.61629284210136</c:v>
                </c:pt>
                <c:pt idx="8">
                  <c:v>388.61629284210136</c:v>
                </c:pt>
                <c:pt idx="9">
                  <c:v>393.61629284210136</c:v>
                </c:pt>
                <c:pt idx="10">
                  <c:v>399.61629284210136</c:v>
                </c:pt>
                <c:pt idx="11">
                  <c:v>411.61629284210136</c:v>
                </c:pt>
                <c:pt idx="12">
                  <c:v>425.61629284210136</c:v>
                </c:pt>
                <c:pt idx="13">
                  <c:v>400.61629284210136</c:v>
                </c:pt>
                <c:pt idx="14">
                  <c:v>393.61629284210136</c:v>
                </c:pt>
                <c:pt idx="15">
                  <c:v>378.61629284210136</c:v>
                </c:pt>
                <c:pt idx="16">
                  <c:v>363.61629284210136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B3B-6442-AFEC-07E56791BA28}"/>
            </c:ext>
          </c:extLst>
        </c:ser>
        <c:ser>
          <c:idx val="11"/>
          <c:order val="10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Trajecto!$F$177:$F$193</c:f>
              <c:numCache>
                <c:formatCode>0</c:formatCode>
                <c:ptCount val="17"/>
                <c:pt idx="0">
                  <c:v>363.61629284210136</c:v>
                </c:pt>
                <c:pt idx="1">
                  <c:v>363.61629284210136</c:v>
                </c:pt>
                <c:pt idx="2">
                  <c:v>353.61629284210136</c:v>
                </c:pt>
                <c:pt idx="3">
                  <c:v>363.61629284210136</c:v>
                </c:pt>
                <c:pt idx="4">
                  <c:v>353.61629284210136</c:v>
                </c:pt>
                <c:pt idx="5">
                  <c:v>350.61629284210136</c:v>
                </c:pt>
                <c:pt idx="6">
                  <c:v>346.61629284210136</c:v>
                </c:pt>
                <c:pt idx="7">
                  <c:v>343.61629284210136</c:v>
                </c:pt>
                <c:pt idx="8">
                  <c:v>338.61629284210136</c:v>
                </c:pt>
                <c:pt idx="9">
                  <c:v>333.61629284210136</c:v>
                </c:pt>
                <c:pt idx="10">
                  <c:v>327.61629284210136</c:v>
                </c:pt>
                <c:pt idx="11">
                  <c:v>315.61629284210136</c:v>
                </c:pt>
                <c:pt idx="12">
                  <c:v>301.61629284210136</c:v>
                </c:pt>
                <c:pt idx="13">
                  <c:v>326.61629284210136</c:v>
                </c:pt>
                <c:pt idx="14">
                  <c:v>333.61629284210136</c:v>
                </c:pt>
                <c:pt idx="15">
                  <c:v>348.61629284210136</c:v>
                </c:pt>
                <c:pt idx="16">
                  <c:v>363.61629284210136</c:v>
                </c:pt>
              </c:numCache>
            </c:numRef>
          </c:xVal>
          <c:yVal>
            <c:numRef>
              <c:f>Trajecto!$B$179:$B$195</c:f>
              <c:numCache>
                <c:formatCode>General</c:formatCode>
                <c:ptCount val="17"/>
                <c:pt idx="0">
                  <c:v>324</c:v>
                </c:pt>
                <c:pt idx="1">
                  <c:v>300</c:v>
                </c:pt>
                <c:pt idx="2">
                  <c:v>280</c:v>
                </c:pt>
                <c:pt idx="3">
                  <c:v>280</c:v>
                </c:pt>
                <c:pt idx="4">
                  <c:v>280</c:v>
                </c:pt>
                <c:pt idx="5">
                  <c:v>200</c:v>
                </c:pt>
                <c:pt idx="6">
                  <c:v>160</c:v>
                </c:pt>
                <c:pt idx="7">
                  <c:v>115</c:v>
                </c:pt>
                <c:pt idx="8">
                  <c:v>90</c:v>
                </c:pt>
                <c:pt idx="9">
                  <c:v>57</c:v>
                </c:pt>
                <c:pt idx="10">
                  <c:v>40</c:v>
                </c:pt>
                <c:pt idx="11">
                  <c:v>20</c:v>
                </c:pt>
                <c:pt idx="12">
                  <c:v>0.5</c:v>
                </c:pt>
                <c:pt idx="13">
                  <c:v>0.5</c:v>
                </c:pt>
                <c:pt idx="14">
                  <c:v>15</c:v>
                </c:pt>
                <c:pt idx="15">
                  <c:v>30</c:v>
                </c:pt>
                <c:pt idx="16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B3B-6442-AFEC-07E56791BA28}"/>
            </c:ext>
          </c:extLst>
        </c:ser>
        <c:ser>
          <c:idx val="12"/>
          <c:order val="11"/>
          <c:tx>
            <c:strRef>
              <c:f>Trajecto!$D$176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Trajecto!$D$194:$D$197</c:f>
              <c:numCache>
                <c:formatCode>0</c:formatCode>
                <c:ptCount val="4"/>
                <c:pt idx="0">
                  <c:v>363.61629284210136</c:v>
                </c:pt>
                <c:pt idx="1">
                  <c:v>380.61629284210136</c:v>
                </c:pt>
                <c:pt idx="2">
                  <c:v>374.61629284210136</c:v>
                </c:pt>
                <c:pt idx="3">
                  <c:v>363.61629284210136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B3B-6442-AFEC-07E56791BA28}"/>
            </c:ext>
          </c:extLst>
        </c:ser>
        <c:ser>
          <c:idx val="13"/>
          <c:order val="12"/>
          <c:tx>
            <c:strRef>
              <c:f>Trajecto!$F$176</c:f>
              <c:strCache>
                <c:ptCount val="1"/>
                <c:pt idx="0">
                  <c:v>Tour Eiffel</c:v>
                </c:pt>
              </c:strCache>
            </c:strRef>
          </c:tx>
          <c:spPr>
            <a:ln>
              <a:solidFill>
                <a:srgbClr val="C0C0C0"/>
              </a:solidFill>
            </a:ln>
          </c:spPr>
          <c:marker>
            <c:symbol val="none"/>
          </c:marker>
          <c:xVal>
            <c:numRef>
              <c:f>Trajecto!$F$194:$F$197</c:f>
              <c:numCache>
                <c:formatCode>0</c:formatCode>
                <c:ptCount val="4"/>
                <c:pt idx="0">
                  <c:v>363.61629284210136</c:v>
                </c:pt>
                <c:pt idx="1">
                  <c:v>346.61629284210136</c:v>
                </c:pt>
                <c:pt idx="2">
                  <c:v>352.61629284210136</c:v>
                </c:pt>
                <c:pt idx="3">
                  <c:v>363.61629284210136</c:v>
                </c:pt>
              </c:numCache>
            </c:numRef>
          </c:xVal>
          <c:yVal>
            <c:numRef>
              <c:f>Trajecto!$B$196:$B$199</c:f>
              <c:numCache>
                <c:formatCode>General</c:formatCode>
                <c:ptCount val="4"/>
                <c:pt idx="0">
                  <c:v>67</c:v>
                </c:pt>
                <c:pt idx="1">
                  <c:v>67</c:v>
                </c:pt>
                <c:pt idx="2">
                  <c:v>100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B3B-6442-AFEC-07E56791BA28}"/>
            </c:ext>
          </c:extLst>
        </c:ser>
        <c:ser>
          <c:idx val="3"/>
          <c:order val="1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dLbls>
            <c:dLbl>
              <c:idx val="1"/>
              <c:tx>
                <c:strRef>
                  <c:f>Trajecto!$B$108</c:f>
                  <c:strCache>
                    <c:ptCount val="1"/>
                    <c:pt idx="0">
                      <c:v>Fusée sous parachute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{05629F66-48E8-46B9-9B78-3EE5B25796FB}</c15:txfldGUID>
                      <c15:f>Trajecto!$B$108</c15:f>
                      <c15:dlblFieldTableCache>
                        <c:ptCount val="1"/>
                        <c:pt idx="0">
                          <c:v>Fusée sous parachute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B3B-6442-AFEC-07E56791BA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Trajecto!$B$123:$B$129</c:f>
              <c:numCache>
                <c:formatCode>0</c:formatCode>
                <c:ptCount val="7"/>
                <c:pt idx="0">
                  <c:v>354.15806611804953</c:v>
                </c:pt>
                <c:pt idx="1">
                  <c:v>354.15806611804953</c:v>
                </c:pt>
                <c:pt idx="2">
                  <c:v>354.15806611804953</c:v>
                </c:pt>
                <c:pt idx="3">
                  <c:v>404.19718683420552</c:v>
                </c:pt>
                <c:pt idx="4">
                  <c:v>354.15806611804953</c:v>
                </c:pt>
                <c:pt idx="5">
                  <c:v>304.11894540189354</c:v>
                </c:pt>
                <c:pt idx="6">
                  <c:v>354.15806611804953</c:v>
                </c:pt>
              </c:numCache>
            </c:numRef>
          </c:xVal>
          <c:yVal>
            <c:numRef>
              <c:f>Trajecto!$C$121:$C$127</c:f>
              <c:numCache>
                <c:formatCode>0</c:formatCode>
                <c:ptCount val="7"/>
                <c:pt idx="0">
                  <c:v>2001.5648286462399</c:v>
                </c:pt>
                <c:pt idx="1">
                  <c:v>1000.78241432312</c:v>
                </c:pt>
                <c:pt idx="2">
                  <c:v>0</c:v>
                </c:pt>
                <c:pt idx="3">
                  <c:v>100.078241432312</c:v>
                </c:pt>
                <c:pt idx="4">
                  <c:v>0</c:v>
                </c:pt>
                <c:pt idx="5">
                  <c:v>100.078241432312</c:v>
                </c:pt>
                <c:pt idx="6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B3B-6442-AFEC-07E56791B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365328"/>
        <c:axId val="1"/>
      </c:scatterChart>
      <c:valAx>
        <c:axId val="180636532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Trajecto!$B$111</c:f>
              <c:strCache>
                <c:ptCount val="1"/>
                <c:pt idx="0">
                  <c:v>Portée x [m]</c:v>
                </c:pt>
              </c:strCache>
            </c:strRef>
          </c:tx>
          <c:layout>
            <c:manualLayout>
              <c:xMode val="edge"/>
              <c:yMode val="edge"/>
              <c:x val="0.56464627732344275"/>
              <c:y val="0.84829693458129052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8.1818320007296386E-2"/>
              <c:y val="6.811139173641030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365328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paperSize="9" firstPageNumber="0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Trajecto!$B$113</c:f>
          <c:strCache>
            <c:ptCount val="1"/>
            <c:pt idx="0">
              <c:v>Altitude z  /  Temps</c:v>
            </c:pt>
          </c:strCache>
        </c:strRef>
      </c:tx>
      <c:layout>
        <c:manualLayout>
          <c:xMode val="edge"/>
          <c:yMode val="edge"/>
          <c:x val="0.57666688909649"/>
          <c:y val="3.71518182868650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FF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6666916233451413E-2"/>
          <c:y val="3.5608360198500402E-2"/>
          <c:w val="0.89333624132890865"/>
          <c:h val="0.89614373166225958"/>
        </c:manualLayout>
      </c:layout>
      <c:scatterChart>
        <c:scatterStyle val="lineMarker"/>
        <c:varyColors val="0"/>
        <c:ser>
          <c:idx val="4"/>
          <c:order val="0"/>
          <c:tx>
            <c:v>Point invisible pour mise à l'echelle</c:v>
          </c:tx>
          <c:spPr>
            <a:ln w="28575">
              <a:noFill/>
            </a:ln>
          </c:spPr>
          <c:marker>
            <c:symbol val="none"/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Trajecto!$B$120</c:f>
              <c:numCache>
                <c:formatCode>0</c:formatCode>
                <c:ptCount val="1"/>
                <c:pt idx="0">
                  <c:v>2003.535757896926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BC-E84B-8A2E-77A3E8DE6A60}"/>
            </c:ext>
          </c:extLst>
        </c:ser>
        <c:ser>
          <c:idx val="0"/>
          <c:order val="1"/>
          <c:tx>
            <c:v>1 point par seconde</c:v>
          </c:tx>
          <c:spPr>
            <a:ln w="28575">
              <a:noFill/>
            </a:ln>
          </c:spPr>
          <c:marker>
            <c:symbol val="plus"/>
            <c:size val="7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Calculs!$AC$4:$AC$1004</c:f>
              <c:numCache>
                <c:formatCode>0</c:formatCode>
                <c:ptCount val="1001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1.0000000000000007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2.0000000000000013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2.99999999999998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3.9999999999999587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4.9999999999999378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5.9999999999999343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6.9999999999999307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7.9999999999999272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8.9999999999999236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9.9999999999999201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10.999999999999917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11.999999999999913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12.999999999999909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13.999999999999906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14.999999999999902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15.999999999999899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16.999999999999911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17.999999999999925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18.99999999999994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19.999999999999954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20.999999999999968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21.999999999999982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22.999999999999996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24.000000000000011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25.000000000000025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26.000000000000039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27.000000000000053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28.000000000000068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29.000000000000082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30.000000000000096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31.00000000000011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32.000000000000121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33.000000000000135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34.000000000000149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35.000000000000163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36.000000000000178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37.000000000000192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38.000000000000206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39.00000000000022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40.000000000000234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41.000000000000249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42.000000000000263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2002.1392842809096</c:v>
                </c:pt>
                <c:pt idx="642">
                  <c:v>2002.615261569302</c:v>
                </c:pt>
                <c:pt idx="643">
                  <c:v>2002.9928313494229</c:v>
                </c:pt>
                <c:pt idx="644">
                  <c:v>2003.272061141043</c:v>
                </c:pt>
                <c:pt idx="645">
                  <c:v>2003.4530157473921</c:v>
                </c:pt>
                <c:pt idx="646">
                  <c:v>2003.535757896926</c:v>
                </c:pt>
                <c:pt idx="647">
                  <c:v>2003.5203489170669</c:v>
                </c:pt>
                <c:pt idx="648">
                  <c:v>2003.4068494294199</c:v>
                </c:pt>
                <c:pt idx="649">
                  <c:v>2003.19532005418</c:v>
                </c:pt>
                <c:pt idx="650">
                  <c:v>2002.8858221105345</c:v>
                </c:pt>
                <c:pt idx="651">
                  <c:v>2002.4784182999831</c:v>
                </c:pt>
                <c:pt idx="652">
                  <c:v>2001.9731733606257</c:v>
                </c:pt>
                <c:pt idx="653">
                  <c:v>2001.3701546824275</c:v>
                </c:pt>
                <c:pt idx="654">
                  <c:v>2000.6694328759665</c:v>
                </c:pt>
                <c:pt idx="655">
                  <c:v>1999.8710822898593</c:v>
                </c:pt>
                <c:pt idx="656">
                  <c:v>1998.9751814746569</c:v>
                </c:pt>
                <c:pt idx="657">
                  <c:v>1997.981813593248</c:v>
                </c:pt>
                <c:pt idx="658">
                  <c:v>1996.8910667795931</c:v>
                </c:pt>
                <c:pt idx="659">
                  <c:v>1995.703034448888</c:v>
                </c:pt>
                <c:pt idx="660">
                  <c:v>1994.4178155630543</c:v>
                </c:pt>
                <c:pt idx="661">
                  <c:v>1993.0355148558504</c:v>
                </c:pt>
                <c:pt idx="662">
                  <c:v>1991.5562430219852</c:v>
                </c:pt>
                <c:pt idx="663">
                  <c:v>1989.9801168744748</c:v>
                </c:pt>
                <c:pt idx="664">
                  <c:v>1988.3072594742109</c:v>
                </c:pt>
                <c:pt idx="665">
                  <c:v>1986.5378002353468</c:v>
                </c:pt>
                <c:pt idx="666">
                  <c:v>1984.6718750097193</c:v>
                </c:pt>
                <c:pt idx="667">
                  <c:v>1982.7096261531346</c:v>
                </c:pt>
                <c:pt idx="668">
                  <c:v>1980.6512025759723</c:v>
                </c:pt>
                <c:pt idx="669">
                  <c:v>1978.4967597802211</c:v>
                </c:pt>
                <c:pt idx="670">
                  <c:v>1976.2464598847562</c:v>
                </c:pt>
                <c:pt idx="671">
                  <c:v>1973.9004716404002</c:v>
                </c:pt>
                <c:pt idx="672">
                  <c:v>1971.4589704360742</c:v>
                </c:pt>
                <c:pt idx="673">
                  <c:v>1968.9221382971534</c:v>
                </c:pt>
                <c:pt idx="674">
                  <c:v>1966.290163876964</c:v>
                </c:pt>
                <c:pt idx="675">
                  <c:v>1963.5632424422213</c:v>
                </c:pt>
                <c:pt idx="676">
                  <c:v>1960.7415758530863</c:v>
                </c:pt>
                <c:pt idx="677">
                  <c:v>1957.8253725384145</c:v>
                </c:pt>
                <c:pt idx="678">
                  <c:v>1954.8148474666878</c:v>
                </c:pt>
                <c:pt idx="679">
                  <c:v>1951.7102221130463</c:v>
                </c:pt>
                <c:pt idx="680">
                  <c:v>1948.5117244227822</c:v>
                </c:pt>
                <c:pt idx="681">
                  <c:v>1945.2195887715998</c:v>
                </c:pt>
                <c:pt idx="682">
                  <c:v>1941.8340559229105</c:v>
                </c:pt>
                <c:pt idx="683">
                  <c:v>1938.3553729823936</c:v>
                </c:pt>
                <c:pt idx="684">
                  <c:v>1934.7837933500227</c:v>
                </c:pt>
                <c:pt idx="685">
                  <c:v>1931.119576669736</c:v>
                </c:pt>
                <c:pt idx="686">
                  <c:v>1927.3629887769039</c:v>
                </c:pt>
                <c:pt idx="687">
                  <c:v>1923.514301643733</c:v>
                </c:pt>
                <c:pt idx="688">
                  <c:v>1919.5737933227285</c:v>
                </c:pt>
                <c:pt idx="689">
                  <c:v>1915.5417478883253</c:v>
                </c:pt>
                <c:pt idx="690">
                  <c:v>1911.4184553767861</c:v>
                </c:pt>
                <c:pt idx="691">
                  <c:v>1907.2042117244589</c:v>
                </c:pt>
                <c:pt idx="692">
                  <c:v>1902.8993187044739</c:v>
                </c:pt>
                <c:pt idx="693">
                  <c:v>1898.5040838619575</c:v>
                </c:pt>
                <c:pt idx="694">
                  <c:v>1894.0188204478329</c:v>
                </c:pt>
                <c:pt idx="695">
                  <c:v>1889.4438473512732</c:v>
                </c:pt>
                <c:pt idx="696">
                  <c:v>1884.779489030868</c:v>
                </c:pt>
                <c:pt idx="697">
                  <c:v>1880.0260754445619</c:v>
                </c:pt>
                <c:pt idx="698">
                  <c:v>1875.1839419784192</c:v>
                </c:pt>
                <c:pt idx="699">
                  <c:v>1870.2534293742679</c:v>
                </c:pt>
                <c:pt idx="700">
                  <c:v>1865.2348836562724</c:v>
                </c:pt>
                <c:pt idx="701">
                  <c:v>1860.1286560564827</c:v>
                </c:pt>
                <c:pt idx="702">
                  <c:v>1854.9351029394077</c:v>
                </c:pt>
                <c:pt idx="703">
                  <c:v>1849.6545857256558</c:v>
                </c:pt>
                <c:pt idx="704">
                  <c:v>1844.2874708146885</c:v>
                </c:pt>
                <c:pt idx="705">
                  <c:v>1838.834129506728</c:v>
                </c:pt>
                <c:pt idx="706">
                  <c:v>1833.2949379238605</c:v>
                </c:pt>
                <c:pt idx="707">
                  <c:v>1827.6702769303761</c:v>
                </c:pt>
                <c:pt idx="708">
                  <c:v>1821.9605320523856</c:v>
                </c:pt>
                <c:pt idx="709">
                  <c:v>1816.166093396753</c:v>
                </c:pt>
                <c:pt idx="710">
                  <c:v>1810.2873555693811</c:v>
                </c:pt>
                <c:pt idx="711">
                  <c:v>1804.3247175928902</c:v>
                </c:pt>
                <c:pt idx="712">
                  <c:v>1798.2785828237259</c:v>
                </c:pt>
                <c:pt idx="713">
                  <c:v>1792.1493588687329</c:v>
                </c:pt>
                <c:pt idx="714">
                  <c:v>1785.9374575012321</c:v>
                </c:pt>
                <c:pt idx="715">
                  <c:v>1779.643294576636</c:v>
                </c:pt>
                <c:pt idx="716">
                  <c:v>1773.2672899476393</c:v>
                </c:pt>
                <c:pt idx="717">
                  <c:v>1766.8098673790178</c:v>
                </c:pt>
                <c:pt idx="718">
                  <c:v>1760.2714544620728</c:v>
                </c:pt>
                <c:pt idx="719">
                  <c:v>1753.6524825287538</c:v>
                </c:pt>
                <c:pt idx="720">
                  <c:v>1746.9533865654939</c:v>
                </c:pt>
                <c:pt idx="721">
                  <c:v>1740.1746051267924</c:v>
                </c:pt>
                <c:pt idx="722">
                  <c:v>1733.3165802485764</c:v>
                </c:pt>
                <c:pt idx="723">
                  <c:v>1726.3797573613767</c:v>
                </c:pt>
                <c:pt idx="724">
                  <c:v>1719.3645852033469</c:v>
                </c:pt>
                <c:pt idx="725">
                  <c:v>1712.2715157331627</c:v>
                </c:pt>
                <c:pt idx="726">
                  <c:v>1705.1010040428291</c:v>
                </c:pt>
                <c:pt idx="727">
                  <c:v>1697.8535082704298</c:v>
                </c:pt>
                <c:pt idx="728">
                  <c:v>1690.5294895128477</c:v>
                </c:pt>
                <c:pt idx="729">
                  <c:v>1683.1294117384891</c:v>
                </c:pt>
                <c:pt idx="730">
                  <c:v>1675.6537417000413</c:v>
                </c:pt>
                <c:pt idx="731">
                  <c:v>1668.1029488472925</c:v>
                </c:pt>
                <c:pt idx="732">
                  <c:v>1660.4775052400453</c:v>
                </c:pt>
                <c:pt idx="733">
                  <c:v>1652.777885461152</c:v>
                </c:pt>
                <c:pt idx="734">
                  <c:v>1645.0045665297002</c:v>
                </c:pt>
                <c:pt idx="735">
                  <c:v>1637.158027814377</c:v>
                </c:pt>
                <c:pt idx="736">
                  <c:v>1629.2387509470402</c:v>
                </c:pt>
                <c:pt idx="737">
                  <c:v>1621.2472197365234</c:v>
                </c:pt>
                <c:pt idx="738">
                  <c:v>1613.1839200827028</c:v>
                </c:pt>
                <c:pt idx="739">
                  <c:v>1605.0493398908495</c:v>
                </c:pt>
                <c:pt idx="740">
                  <c:v>1596.843968986298</c:v>
                </c:pt>
                <c:pt idx="741">
                  <c:v>1588.5682990294511</c:v>
                </c:pt>
                <c:pt idx="742">
                  <c:v>1580.2228234311503</c:v>
                </c:pt>
                <c:pt idx="743">
                  <c:v>1571.8080372684353</c:v>
                </c:pt>
                <c:pt idx="744">
                  <c:v>1563.3244372007143</c:v>
                </c:pt>
                <c:pt idx="745">
                  <c:v>1554.7725213863728</c:v>
                </c:pt>
                <c:pt idx="746">
                  <c:v>1546.1527893998395</c:v>
                </c:pt>
                <c:pt idx="747">
                  <c:v>1537.4657421491372</c:v>
                </c:pt>
                <c:pt idx="748">
                  <c:v>1528.711881793934</c:v>
                </c:pt>
                <c:pt idx="749">
                  <c:v>1519.8917116641235</c:v>
                </c:pt>
                <c:pt idx="750">
                  <c:v>1511.0057361789491</c:v>
                </c:pt>
                <c:pt idx="751">
                  <c:v>1502.0544607666966</c:v>
                </c:pt>
                <c:pt idx="752">
                  <c:v>1493.038391784974</c:v>
                </c:pt>
                <c:pt idx="753">
                  <c:v>1483.9580364415965</c:v>
                </c:pt>
                <c:pt idx="754">
                  <c:v>1474.8139027160983</c:v>
                </c:pt>
                <c:pt idx="755">
                  <c:v>1465.6064992818874</c:v>
                </c:pt>
                <c:pt idx="756">
                  <c:v>1456.3363354290618</c:v>
                </c:pt>
                <c:pt idx="757">
                  <c:v>1447.0039209879053</c:v>
                </c:pt>
                <c:pt idx="758">
                  <c:v>1437.6097662530779</c:v>
                </c:pt>
                <c:pt idx="759">
                  <c:v>1428.1543819085182</c:v>
                </c:pt>
                <c:pt idx="760">
                  <c:v>1418.6382789530742</c:v>
                </c:pt>
                <c:pt idx="761">
                  <c:v>1409.0619686268749</c:v>
                </c:pt>
                <c:pt idx="762">
                  <c:v>1399.4259623384605</c:v>
                </c:pt>
                <c:pt idx="763">
                  <c:v>1389.7307715926825</c:v>
                </c:pt>
                <c:pt idx="764">
                  <c:v>1379.9769079193893</c:v>
                </c:pt>
                <c:pt idx="765">
                  <c:v>1370.1648828029088</c:v>
                </c:pt>
                <c:pt idx="766">
                  <c:v>1360.2952076123406</c:v>
                </c:pt>
                <c:pt idx="767">
                  <c:v>1350.368393532671</c:v>
                </c:pt>
                <c:pt idx="768">
                  <c:v>1340.3849514967196</c:v>
                </c:pt>
                <c:pt idx="769">
                  <c:v>1330.3453921179314</c:v>
                </c:pt>
                <c:pt idx="770">
                  <c:v>1320.2502256240211</c:v>
                </c:pt>
                <c:pt idx="771">
                  <c:v>1310.0999617914833</c:v>
                </c:pt>
                <c:pt idx="772">
                  <c:v>1299.8951098809741</c:v>
                </c:pt>
                <c:pt idx="773">
                  <c:v>1289.6361785735753</c:v>
                </c:pt>
                <c:pt idx="774">
                  <c:v>1279.3236759079484</c:v>
                </c:pt>
                <c:pt idx="775">
                  <c:v>1268.9581092183862</c:v>
                </c:pt>
                <c:pt idx="776">
                  <c:v>1258.5399850737683</c:v>
                </c:pt>
                <c:pt idx="777">
                  <c:v>1248.0698092174302</c:v>
                </c:pt>
                <c:pt idx="778">
                  <c:v>1237.5480865079473</c:v>
                </c:pt>
                <c:pt idx="779">
                  <c:v>1226.9753208608438</c:v>
                </c:pt>
                <c:pt idx="780">
                  <c:v>1216.3520151912298</c:v>
                </c:pt>
                <c:pt idx="781">
                  <c:v>1205.6786713573715</c:v>
                </c:pt>
                <c:pt idx="782">
                  <c:v>1194.955790105198</c:v>
                </c:pt>
                <c:pt idx="783">
                  <c:v>1184.1838710137506</c:v>
                </c:pt>
                <c:pt idx="784">
                  <c:v>1173.3634124415751</c:v>
                </c:pt>
                <c:pt idx="785">
                  <c:v>1162.4949114740627</c:v>
                </c:pt>
                <c:pt idx="786">
                  <c:v>1151.5788638717404</c:v>
                </c:pt>
                <c:pt idx="787">
                  <c:v>1140.6157640195113</c:v>
                </c:pt>
                <c:pt idx="788">
                  <c:v>1129.6061048768513</c:v>
                </c:pt>
                <c:pt idx="789">
                  <c:v>1118.550377928957</c:v>
                </c:pt>
                <c:pt idx="790">
                  <c:v>1107.4490731388507</c:v>
                </c:pt>
                <c:pt idx="791">
                  <c:v>1096.3026789004398</c:v>
                </c:pt>
                <c:pt idx="792">
                  <c:v>1085.1116819925312</c:v>
                </c:pt>
                <c:pt idx="793">
                  <c:v>1073.8765675338011</c:v>
                </c:pt>
                <c:pt idx="794">
                  <c:v>1062.5978189387179</c:v>
                </c:pt>
                <c:pt idx="795">
                  <c:v>1051.2759178744179</c:v>
                </c:pt>
                <c:pt idx="796">
                  <c:v>1039.9113442185314</c:v>
                </c:pt>
                <c:pt idx="797">
                  <c:v>1028.5045760179585</c:v>
                </c:pt>
                <c:pt idx="798">
                  <c:v>1017.0560894485898</c:v>
                </c:pt>
                <c:pt idx="799">
                  <c:v>1005.5663587759723</c:v>
                </c:pt>
                <c:pt idx="800">
                  <c:v>994.0358563169151</c:v>
                </c:pt>
                <c:pt idx="801">
                  <c:v>982.4650524020326</c:v>
                </c:pt>
                <c:pt idx="802">
                  <c:v>970.85441533922096</c:v>
                </c:pt>
                <c:pt idx="803">
                  <c:v>959.20441137806461</c:v>
                </c:pt>
                <c:pt idx="804">
                  <c:v>947.51550467516734</c:v>
                </c:pt>
                <c:pt idx="805">
                  <c:v>935.78815726040432</c:v>
                </c:pt>
                <c:pt idx="806">
                  <c:v>924.02282900408977</c:v>
                </c:pt>
                <c:pt idx="807">
                  <c:v>912.21997758505472</c:v>
                </c:pt>
                <c:pt idx="808">
                  <c:v>900.38005845963039</c:v>
                </c:pt>
                <c:pt idx="809">
                  <c:v>888.50352483153017</c:v>
                </c:pt>
                <c:pt idx="810">
                  <c:v>876.5908276226254</c:v>
                </c:pt>
                <c:pt idx="811">
                  <c:v>864.64241544460788</c:v>
                </c:pt>
                <c:pt idx="812">
                  <c:v>852.65873457153316</c:v>
                </c:pt>
                <c:pt idx="813">
                  <c:v>840.64022891323782</c:v>
                </c:pt>
                <c:pt idx="814">
                  <c:v>828.58733998962362</c:v>
                </c:pt>
                <c:pt idx="815">
                  <c:v>816.50050690580144</c:v>
                </c:pt>
                <c:pt idx="816">
                  <c:v>804.38016632808819</c:v>
                </c:pt>
                <c:pt idx="817">
                  <c:v>792.22675246084827</c:v>
                </c:pt>
                <c:pt idx="818">
                  <c:v>780.04069702417269</c:v>
                </c:pt>
                <c:pt idx="819">
                  <c:v>767.82242923238732</c:v>
                </c:pt>
                <c:pt idx="820">
                  <c:v>755.57237577338321</c:v>
                </c:pt>
                <c:pt idx="821">
                  <c:v>743.29096078875898</c:v>
                </c:pt>
                <c:pt idx="822">
                  <c:v>730.97860585476906</c:v>
                </c:pt>
                <c:pt idx="823">
                  <c:v>718.63572996406731</c:v>
                </c:pt>
                <c:pt idx="824">
                  <c:v>706.26274950823881</c:v>
                </c:pt>
                <c:pt idx="825">
                  <c:v>693.86007826111029</c:v>
                </c:pt>
                <c:pt idx="826">
                  <c:v>681.42812736283008</c:v>
                </c:pt>
                <c:pt idx="827">
                  <c:v>668.96730530470893</c:v>
                </c:pt>
                <c:pt idx="828">
                  <c:v>656.47801791481299</c:v>
                </c:pt>
                <c:pt idx="829">
                  <c:v>643.96066834429826</c:v>
                </c:pt>
                <c:pt idx="830">
                  <c:v>631.41565705447874</c:v>
                </c:pt>
                <c:pt idx="831">
                  <c:v>618.84338180461771</c:v>
                </c:pt>
                <c:pt idx="832">
                  <c:v>606.2442376404332</c:v>
                </c:pt>
                <c:pt idx="833">
                  <c:v>593.61861688330771</c:v>
                </c:pt>
                <c:pt idx="834">
                  <c:v>580.96690912019255</c:v>
                </c:pt>
                <c:pt idx="835">
                  <c:v>568.28950119419733</c:v>
                </c:pt>
                <c:pt idx="836">
                  <c:v>555.58677719585432</c:v>
                </c:pt>
                <c:pt idx="837">
                  <c:v>542.85911845504813</c:v>
                </c:pt>
                <c:pt idx="838">
                  <c:v>530.10690353360076</c:v>
                </c:pt>
                <c:pt idx="839">
                  <c:v>517.33050821850213</c:v>
                </c:pt>
                <c:pt idx="840">
                  <c:v>504.53030551577569</c:v>
                </c:pt>
                <c:pt idx="841">
                  <c:v>491.7066656449698</c:v>
                </c:pt>
                <c:pt idx="842">
                  <c:v>478.85995603426403</c:v>
                </c:pt>
                <c:pt idx="843">
                  <c:v>465.99054131618112</c:v>
                </c:pt>
                <c:pt idx="844">
                  <c:v>453.09878332389405</c:v>
                </c:pt>
                <c:pt idx="845">
                  <c:v>440.18504108811806</c:v>
                </c:pt>
                <c:pt idx="846">
                  <c:v>427.24967083457796</c:v>
                </c:pt>
                <c:pt idx="847">
                  <c:v>414.29302598204026</c:v>
                </c:pt>
                <c:pt idx="848">
                  <c:v>401.31545714090038</c:v>
                </c:pt>
                <c:pt idx="849">
                  <c:v>388.31731211231454</c:v>
                </c:pt>
                <c:pt idx="850">
                  <c:v>375.29893588786655</c:v>
                </c:pt>
                <c:pt idx="851">
                  <c:v>362.26067064975933</c:v>
                </c:pt>
                <c:pt idx="852">
                  <c:v>349.20285577152134</c:v>
                </c:pt>
                <c:pt idx="853">
                  <c:v>336.12582781921776</c:v>
                </c:pt>
                <c:pt idx="854">
                  <c:v>323.02992055315639</c:v>
                </c:pt>
                <c:pt idx="855">
                  <c:v>309.91546493007883</c:v>
                </c:pt>
                <c:pt idx="856">
                  <c:v>296.78278910582662</c:v>
                </c:pt>
                <c:pt idx="857">
                  <c:v>283.63221843847282</c:v>
                </c:pt>
                <c:pt idx="858">
                  <c:v>270.46407549190883</c:v>
                </c:pt>
                <c:pt idx="859">
                  <c:v>257.27868003987737</c:v>
                </c:pt>
                <c:pt idx="860">
                  <c:v>244.07634907044164</c:v>
                </c:pt>
                <c:pt idx="861">
                  <c:v>230.85739679088064</c:v>
                </c:pt>
                <c:pt idx="862">
                  <c:v>217.62213463300199</c:v>
                </c:pt>
                <c:pt idx="863">
                  <c:v>204.370871258862</c:v>
                </c:pt>
                <c:pt idx="864">
                  <c:v>191.10391256688396</c:v>
                </c:pt>
                <c:pt idx="865">
                  <c:v>177.82156169836514</c:v>
                </c:pt>
                <c:pt idx="866">
                  <c:v>164.52411904436343</c:v>
                </c:pt>
                <c:pt idx="867">
                  <c:v>151.21188225295407</c:v>
                </c:pt>
                <c:pt idx="868">
                  <c:v>137.8851462368477</c:v>
                </c:pt>
                <c:pt idx="869">
                  <c:v>124.54420318136053</c:v>
                </c:pt>
                <c:pt idx="870">
                  <c:v>111.18934255272758</c:v>
                </c:pt>
                <c:pt idx="871">
                  <c:v>97.820851106750254</c:v>
                </c:pt>
                <c:pt idx="872">
                  <c:v>84.439012897769345</c:v>
                </c:pt>
                <c:pt idx="873">
                  <c:v>71.044109287954825</c:v>
                </c:pt>
                <c:pt idx="874">
                  <c:v>57.636418956903725</c:v>
                </c:pt>
                <c:pt idx="875">
                  <c:v>44.216217911537612</c:v>
                </c:pt>
                <c:pt idx="876">
                  <c:v>30.78377949629121</c:v>
                </c:pt>
                <c:pt idx="877">
                  <c:v>17.339374403583818</c:v>
                </c:pt>
                <c:pt idx="878">
                  <c:v>3.8832706845652005</c:v>
                </c:pt>
                <c:pt idx="879">
                  <c:v>-9.5842662398721146</c:v>
                </c:pt>
                <c:pt idx="880">
                  <c:v>-9.5977394328919523</c:v>
                </c:pt>
                <c:pt idx="881">
                  <c:v>-9.6112126369513167</c:v>
                </c:pt>
                <c:pt idx="882">
                  <c:v>-9.6246858520499483</c:v>
                </c:pt>
                <c:pt idx="883">
                  <c:v>-9.6381590781875897</c:v>
                </c:pt>
                <c:pt idx="884">
                  <c:v>-9.6516323153639831</c:v>
                </c:pt>
                <c:pt idx="885">
                  <c:v>-9.6651055635788676</c:v>
                </c:pt>
                <c:pt idx="886">
                  <c:v>-9.6785788228319873</c:v>
                </c:pt>
                <c:pt idx="887">
                  <c:v>-9.6920520931230829</c:v>
                </c:pt>
                <c:pt idx="888">
                  <c:v>-9.705525374451895</c:v>
                </c:pt>
                <c:pt idx="889">
                  <c:v>-9.718998666818166</c:v>
                </c:pt>
                <c:pt idx="890">
                  <c:v>-9.7324719702216367</c:v>
                </c:pt>
                <c:pt idx="891">
                  <c:v>-9.7459452846620493</c:v>
                </c:pt>
                <c:pt idx="892">
                  <c:v>-9.7594186101391447</c:v>
                </c:pt>
                <c:pt idx="893">
                  <c:v>-9.7728919466526651</c:v>
                </c:pt>
                <c:pt idx="894">
                  <c:v>-9.7863652942023514</c:v>
                </c:pt>
                <c:pt idx="895">
                  <c:v>-9.7998386527879457</c:v>
                </c:pt>
                <c:pt idx="896">
                  <c:v>-9.813312022409189</c:v>
                </c:pt>
                <c:pt idx="897">
                  <c:v>-9.8267854030658235</c:v>
                </c:pt>
                <c:pt idx="898">
                  <c:v>-9.8402587947575899</c:v>
                </c:pt>
                <c:pt idx="899">
                  <c:v>-9.8537321974842307</c:v>
                </c:pt>
                <c:pt idx="900">
                  <c:v>-9.8672056112454865</c:v>
                </c:pt>
                <c:pt idx="901">
                  <c:v>-9.8806790360410979</c:v>
                </c:pt>
                <c:pt idx="902">
                  <c:v>-9.8941524718708092</c:v>
                </c:pt>
                <c:pt idx="903">
                  <c:v>-9.9076259187343592</c:v>
                </c:pt>
                <c:pt idx="904">
                  <c:v>-9.9210993766314903</c:v>
                </c:pt>
                <c:pt idx="905">
                  <c:v>-9.9345728455619451</c:v>
                </c:pt>
                <c:pt idx="906">
                  <c:v>-9.9480463255254641</c:v>
                </c:pt>
                <c:pt idx="907">
                  <c:v>-9.9615198165217897</c:v>
                </c:pt>
                <c:pt idx="908">
                  <c:v>-9.9749933185506627</c:v>
                </c:pt>
                <c:pt idx="909">
                  <c:v>-9.9884668316118255</c:v>
                </c:pt>
                <c:pt idx="910">
                  <c:v>-10.001940355705019</c:v>
                </c:pt>
                <c:pt idx="911">
                  <c:v>-10.015413890829985</c:v>
                </c:pt>
                <c:pt idx="912">
                  <c:v>-10.028887436986464</c:v>
                </c:pt>
                <c:pt idx="913">
                  <c:v>-10.042360994174199</c:v>
                </c:pt>
                <c:pt idx="914">
                  <c:v>-10.055834562392931</c:v>
                </c:pt>
                <c:pt idx="915">
                  <c:v>-10.069308141642402</c:v>
                </c:pt>
                <c:pt idx="916">
                  <c:v>-10.082781731922353</c:v>
                </c:pt>
                <c:pt idx="917">
                  <c:v>-10.096255333232525</c:v>
                </c:pt>
                <c:pt idx="918">
                  <c:v>-10.109728945572662</c:v>
                </c:pt>
                <c:pt idx="919">
                  <c:v>-10.123202568942503</c:v>
                </c:pt>
                <c:pt idx="920">
                  <c:v>-10.136676203341791</c:v>
                </c:pt>
                <c:pt idx="921">
                  <c:v>-10.150149848770267</c:v>
                </c:pt>
                <c:pt idx="922">
                  <c:v>-10.163623505227672</c:v>
                </c:pt>
                <c:pt idx="923">
                  <c:v>-10.177097172713749</c:v>
                </c:pt>
                <c:pt idx="924">
                  <c:v>-10.190570851228239</c:v>
                </c:pt>
                <c:pt idx="925">
                  <c:v>-10.204044540770884</c:v>
                </c:pt>
                <c:pt idx="926">
                  <c:v>-10.217518241341425</c:v>
                </c:pt>
                <c:pt idx="927">
                  <c:v>-10.230991952939604</c:v>
                </c:pt>
                <c:pt idx="928">
                  <c:v>-10.244465675565161</c:v>
                </c:pt>
                <c:pt idx="929">
                  <c:v>-10.25793940921784</c:v>
                </c:pt>
                <c:pt idx="930">
                  <c:v>-10.271413153897381</c:v>
                </c:pt>
                <c:pt idx="931">
                  <c:v>-10.284886909603527</c:v>
                </c:pt>
                <c:pt idx="932">
                  <c:v>-10.298360676336017</c:v>
                </c:pt>
                <c:pt idx="933">
                  <c:v>-10.311834454094596</c:v>
                </c:pt>
                <c:pt idx="934">
                  <c:v>-10.325308242879004</c:v>
                </c:pt>
                <c:pt idx="935">
                  <c:v>-10.338782042688981</c:v>
                </c:pt>
                <c:pt idx="936">
                  <c:v>-10.352255853524271</c:v>
                </c:pt>
                <c:pt idx="937">
                  <c:v>-10.365729675384616</c:v>
                </c:pt>
                <c:pt idx="938">
                  <c:v>-10.379203508269756</c:v>
                </c:pt>
                <c:pt idx="939">
                  <c:v>-10.392677352179433</c:v>
                </c:pt>
                <c:pt idx="940">
                  <c:v>-10.406151207113389</c:v>
                </c:pt>
                <c:pt idx="941">
                  <c:v>-10.419625073071366</c:v>
                </c:pt>
                <c:pt idx="942">
                  <c:v>-10.433098950053104</c:v>
                </c:pt>
                <c:pt idx="943">
                  <c:v>-10.446572838058346</c:v>
                </c:pt>
                <c:pt idx="944">
                  <c:v>-10.460046737086833</c:v>
                </c:pt>
                <c:pt idx="945">
                  <c:v>-10.473520647138306</c:v>
                </c:pt>
                <c:pt idx="946">
                  <c:v>-10.486994568212509</c:v>
                </c:pt>
                <c:pt idx="947">
                  <c:v>-10.500468500309182</c:v>
                </c:pt>
                <c:pt idx="948">
                  <c:v>-10.513942443428068</c:v>
                </c:pt>
                <c:pt idx="949">
                  <c:v>-10.527416397568906</c:v>
                </c:pt>
                <c:pt idx="950">
                  <c:v>-10.540890362731441</c:v>
                </c:pt>
                <c:pt idx="951">
                  <c:v>-10.554364338915411</c:v>
                </c:pt>
                <c:pt idx="952">
                  <c:v>-10.56783832612056</c:v>
                </c:pt>
                <c:pt idx="953">
                  <c:v>-10.58131232434663</c:v>
                </c:pt>
                <c:pt idx="954">
                  <c:v>-10.594786333593362</c:v>
                </c:pt>
                <c:pt idx="955">
                  <c:v>-10.608260353860498</c:v>
                </c:pt>
                <c:pt idx="956">
                  <c:v>-10.621734385147779</c:v>
                </c:pt>
                <c:pt idx="957">
                  <c:v>-10.635208427454947</c:v>
                </c:pt>
                <c:pt idx="958">
                  <c:v>-10.648682480781744</c:v>
                </c:pt>
                <c:pt idx="959">
                  <c:v>-10.662156545127912</c:v>
                </c:pt>
                <c:pt idx="960">
                  <c:v>-10.675630620493191</c:v>
                </c:pt>
                <c:pt idx="961">
                  <c:v>-10.689104706877323</c:v>
                </c:pt>
                <c:pt idx="962">
                  <c:v>-10.702578804280051</c:v>
                </c:pt>
                <c:pt idx="963">
                  <c:v>-10.716052912701118</c:v>
                </c:pt>
                <c:pt idx="964">
                  <c:v>-10.729527032140263</c:v>
                </c:pt>
                <c:pt idx="965">
                  <c:v>-10.743001162597228</c:v>
                </c:pt>
                <c:pt idx="966">
                  <c:v>-10.756475304071754</c:v>
                </c:pt>
                <c:pt idx="967">
                  <c:v>-10.769949456563586</c:v>
                </c:pt>
                <c:pt idx="968">
                  <c:v>-10.783423620072462</c:v>
                </c:pt>
                <c:pt idx="969">
                  <c:v>-10.796897794598125</c:v>
                </c:pt>
                <c:pt idx="970">
                  <c:v>-10.810371980140319</c:v>
                </c:pt>
                <c:pt idx="971">
                  <c:v>-10.823846176698783</c:v>
                </c:pt>
                <c:pt idx="972">
                  <c:v>-10.83732038427326</c:v>
                </c:pt>
                <c:pt idx="973">
                  <c:v>-10.850794602863491</c:v>
                </c:pt>
                <c:pt idx="974">
                  <c:v>-10.864268832469218</c:v>
                </c:pt>
                <c:pt idx="975">
                  <c:v>-10.877743073090183</c:v>
                </c:pt>
                <c:pt idx="976">
                  <c:v>-10.891217324726128</c:v>
                </c:pt>
                <c:pt idx="977">
                  <c:v>-10.904691587376794</c:v>
                </c:pt>
                <c:pt idx="978">
                  <c:v>-10.918165861041922</c:v>
                </c:pt>
                <c:pt idx="979">
                  <c:v>-10.931640145721255</c:v>
                </c:pt>
                <c:pt idx="980">
                  <c:v>-10.945114441414535</c:v>
                </c:pt>
                <c:pt idx="981">
                  <c:v>-10.958588748121503</c:v>
                </c:pt>
                <c:pt idx="982">
                  <c:v>-10.972063065841901</c:v>
                </c:pt>
                <c:pt idx="983">
                  <c:v>-10.98553739457547</c:v>
                </c:pt>
                <c:pt idx="984">
                  <c:v>-10.999011734321952</c:v>
                </c:pt>
                <c:pt idx="985">
                  <c:v>-11.01248608508109</c:v>
                </c:pt>
                <c:pt idx="986">
                  <c:v>-11.025960446852624</c:v>
                </c:pt>
                <c:pt idx="987">
                  <c:v>-11.039434819636297</c:v>
                </c:pt>
                <c:pt idx="988">
                  <c:v>-11.052909203431849</c:v>
                </c:pt>
                <c:pt idx="989">
                  <c:v>-11.066383598239025</c:v>
                </c:pt>
                <c:pt idx="990">
                  <c:v>-11.079858004057563</c:v>
                </c:pt>
                <c:pt idx="991">
                  <c:v>-11.093332420887208</c:v>
                </c:pt>
                <c:pt idx="992">
                  <c:v>-11.1068068487277</c:v>
                </c:pt>
                <c:pt idx="993">
                  <c:v>-11.120281287578782</c:v>
                </c:pt>
                <c:pt idx="994">
                  <c:v>-11.133755737440195</c:v>
                </c:pt>
                <c:pt idx="995">
                  <c:v>-11.14723019831168</c:v>
                </c:pt>
                <c:pt idx="996">
                  <c:v>-11.160704670192981</c:v>
                </c:pt>
                <c:pt idx="997">
                  <c:v>-11.174179153083838</c:v>
                </c:pt>
                <c:pt idx="998">
                  <c:v>-11.187653646983993</c:v>
                </c:pt>
                <c:pt idx="999">
                  <c:v>-11.201128151893187</c:v>
                </c:pt>
                <c:pt idx="1000">
                  <c:v>-11.214602667811162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C-E84B-8A2E-77A3E8DE6A60}"/>
            </c:ext>
          </c:extLst>
        </c:ser>
        <c:ser>
          <c:idx val="1"/>
          <c:order val="2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ysDash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2002.1392842809096</c:v>
                </c:pt>
                <c:pt idx="642">
                  <c:v>2002.615261569302</c:v>
                </c:pt>
                <c:pt idx="643">
                  <c:v>2002.9928313494229</c:v>
                </c:pt>
                <c:pt idx="644">
                  <c:v>2003.272061141043</c:v>
                </c:pt>
                <c:pt idx="645">
                  <c:v>2003.4530157473921</c:v>
                </c:pt>
                <c:pt idx="646">
                  <c:v>2003.535757896926</c:v>
                </c:pt>
                <c:pt idx="647">
                  <c:v>2003.5203489170669</c:v>
                </c:pt>
                <c:pt idx="648">
                  <c:v>2003.4068494294199</c:v>
                </c:pt>
                <c:pt idx="649">
                  <c:v>2003.19532005418</c:v>
                </c:pt>
                <c:pt idx="650">
                  <c:v>2002.8858221105345</c:v>
                </c:pt>
                <c:pt idx="651">
                  <c:v>2002.4784182999831</c:v>
                </c:pt>
                <c:pt idx="652">
                  <c:v>2001.9731733606257</c:v>
                </c:pt>
                <c:pt idx="653">
                  <c:v>2001.3701546824275</c:v>
                </c:pt>
                <c:pt idx="654">
                  <c:v>2000.6694328759665</c:v>
                </c:pt>
                <c:pt idx="655">
                  <c:v>1999.8710822898593</c:v>
                </c:pt>
                <c:pt idx="656">
                  <c:v>1998.9751814746569</c:v>
                </c:pt>
                <c:pt idx="657">
                  <c:v>1997.981813593248</c:v>
                </c:pt>
                <c:pt idx="658">
                  <c:v>1996.8910667795931</c:v>
                </c:pt>
                <c:pt idx="659">
                  <c:v>1995.703034448888</c:v>
                </c:pt>
                <c:pt idx="660">
                  <c:v>1994.4178155630543</c:v>
                </c:pt>
                <c:pt idx="661">
                  <c:v>1993.0355148558504</c:v>
                </c:pt>
                <c:pt idx="662">
                  <c:v>1991.5562430219852</c:v>
                </c:pt>
                <c:pt idx="663">
                  <c:v>1989.9801168744748</c:v>
                </c:pt>
                <c:pt idx="664">
                  <c:v>1988.3072594742109</c:v>
                </c:pt>
                <c:pt idx="665">
                  <c:v>1986.5378002353468</c:v>
                </c:pt>
                <c:pt idx="666">
                  <c:v>1984.6718750097193</c:v>
                </c:pt>
                <c:pt idx="667">
                  <c:v>1982.7096261531346</c:v>
                </c:pt>
                <c:pt idx="668">
                  <c:v>1980.6512025759723</c:v>
                </c:pt>
                <c:pt idx="669">
                  <c:v>1978.4967597802211</c:v>
                </c:pt>
                <c:pt idx="670">
                  <c:v>1976.2464598847562</c:v>
                </c:pt>
                <c:pt idx="671">
                  <c:v>1973.9004716404002</c:v>
                </c:pt>
                <c:pt idx="672">
                  <c:v>1971.4589704360742</c:v>
                </c:pt>
                <c:pt idx="673">
                  <c:v>1968.9221382971534</c:v>
                </c:pt>
                <c:pt idx="674">
                  <c:v>1966.290163876964</c:v>
                </c:pt>
                <c:pt idx="675">
                  <c:v>1963.5632424422213</c:v>
                </c:pt>
                <c:pt idx="676">
                  <c:v>1960.7415758530863</c:v>
                </c:pt>
                <c:pt idx="677">
                  <c:v>1957.8253725384145</c:v>
                </c:pt>
                <c:pt idx="678">
                  <c:v>1954.8148474666878</c:v>
                </c:pt>
                <c:pt idx="679">
                  <c:v>1951.7102221130463</c:v>
                </c:pt>
                <c:pt idx="680">
                  <c:v>1948.5117244227822</c:v>
                </c:pt>
                <c:pt idx="681">
                  <c:v>1945.2195887715998</c:v>
                </c:pt>
                <c:pt idx="682">
                  <c:v>1941.8340559229105</c:v>
                </c:pt>
                <c:pt idx="683">
                  <c:v>1938.3553729823936</c:v>
                </c:pt>
                <c:pt idx="684">
                  <c:v>1934.7837933500227</c:v>
                </c:pt>
                <c:pt idx="685">
                  <c:v>1931.119576669736</c:v>
                </c:pt>
                <c:pt idx="686">
                  <c:v>1927.3629887769039</c:v>
                </c:pt>
                <c:pt idx="687">
                  <c:v>1923.514301643733</c:v>
                </c:pt>
                <c:pt idx="688">
                  <c:v>1919.5737933227285</c:v>
                </c:pt>
                <c:pt idx="689">
                  <c:v>1915.5417478883253</c:v>
                </c:pt>
                <c:pt idx="690">
                  <c:v>1911.4184553767861</c:v>
                </c:pt>
                <c:pt idx="691">
                  <c:v>1907.2042117244589</c:v>
                </c:pt>
                <c:pt idx="692">
                  <c:v>1902.8993187044739</c:v>
                </c:pt>
                <c:pt idx="693">
                  <c:v>1898.5040838619575</c:v>
                </c:pt>
                <c:pt idx="694">
                  <c:v>1894.0188204478329</c:v>
                </c:pt>
                <c:pt idx="695">
                  <c:v>1889.4438473512732</c:v>
                </c:pt>
                <c:pt idx="696">
                  <c:v>1884.779489030868</c:v>
                </c:pt>
                <c:pt idx="697">
                  <c:v>1880.0260754445619</c:v>
                </c:pt>
                <c:pt idx="698">
                  <c:v>1875.1839419784192</c:v>
                </c:pt>
                <c:pt idx="699">
                  <c:v>1870.2534293742679</c:v>
                </c:pt>
                <c:pt idx="700">
                  <c:v>1865.2348836562724</c:v>
                </c:pt>
                <c:pt idx="701">
                  <c:v>1860.1286560564827</c:v>
                </c:pt>
                <c:pt idx="702">
                  <c:v>1854.9351029394077</c:v>
                </c:pt>
                <c:pt idx="703">
                  <c:v>1849.6545857256558</c:v>
                </c:pt>
                <c:pt idx="704">
                  <c:v>1844.2874708146885</c:v>
                </c:pt>
                <c:pt idx="705">
                  <c:v>1838.834129506728</c:v>
                </c:pt>
                <c:pt idx="706">
                  <c:v>1833.2949379238605</c:v>
                </c:pt>
                <c:pt idx="707">
                  <c:v>1827.6702769303761</c:v>
                </c:pt>
                <c:pt idx="708">
                  <c:v>1821.9605320523856</c:v>
                </c:pt>
                <c:pt idx="709">
                  <c:v>1816.166093396753</c:v>
                </c:pt>
                <c:pt idx="710">
                  <c:v>1810.2873555693811</c:v>
                </c:pt>
                <c:pt idx="711">
                  <c:v>1804.3247175928902</c:v>
                </c:pt>
                <c:pt idx="712">
                  <c:v>1798.2785828237259</c:v>
                </c:pt>
                <c:pt idx="713">
                  <c:v>1792.1493588687329</c:v>
                </c:pt>
                <c:pt idx="714">
                  <c:v>1785.9374575012321</c:v>
                </c:pt>
                <c:pt idx="715">
                  <c:v>1779.643294576636</c:v>
                </c:pt>
                <c:pt idx="716">
                  <c:v>1773.2672899476393</c:v>
                </c:pt>
                <c:pt idx="717">
                  <c:v>1766.8098673790178</c:v>
                </c:pt>
                <c:pt idx="718">
                  <c:v>1760.2714544620728</c:v>
                </c:pt>
                <c:pt idx="719">
                  <c:v>1753.6524825287538</c:v>
                </c:pt>
                <c:pt idx="720">
                  <c:v>1746.9533865654939</c:v>
                </c:pt>
                <c:pt idx="721">
                  <c:v>1740.1746051267924</c:v>
                </c:pt>
                <c:pt idx="722">
                  <c:v>1733.3165802485764</c:v>
                </c:pt>
                <c:pt idx="723">
                  <c:v>1726.3797573613767</c:v>
                </c:pt>
                <c:pt idx="724">
                  <c:v>1719.3645852033469</c:v>
                </c:pt>
                <c:pt idx="725">
                  <c:v>1712.2715157331627</c:v>
                </c:pt>
                <c:pt idx="726">
                  <c:v>1705.1010040428291</c:v>
                </c:pt>
                <c:pt idx="727">
                  <c:v>1697.8535082704298</c:v>
                </c:pt>
                <c:pt idx="728">
                  <c:v>1690.5294895128477</c:v>
                </c:pt>
                <c:pt idx="729">
                  <c:v>1683.1294117384891</c:v>
                </c:pt>
                <c:pt idx="730">
                  <c:v>1675.6537417000413</c:v>
                </c:pt>
                <c:pt idx="731">
                  <c:v>1668.1029488472925</c:v>
                </c:pt>
                <c:pt idx="732">
                  <c:v>1660.4775052400453</c:v>
                </c:pt>
                <c:pt idx="733">
                  <c:v>1652.777885461152</c:v>
                </c:pt>
                <c:pt idx="734">
                  <c:v>1645.0045665297002</c:v>
                </c:pt>
                <c:pt idx="735">
                  <c:v>1637.158027814377</c:v>
                </c:pt>
                <c:pt idx="736">
                  <c:v>1629.2387509470402</c:v>
                </c:pt>
                <c:pt idx="737">
                  <c:v>1621.2472197365234</c:v>
                </c:pt>
                <c:pt idx="738">
                  <c:v>1613.1839200827028</c:v>
                </c:pt>
                <c:pt idx="739">
                  <c:v>1605.0493398908495</c:v>
                </c:pt>
                <c:pt idx="740">
                  <c:v>1596.843968986298</c:v>
                </c:pt>
                <c:pt idx="741">
                  <c:v>1588.5682990294511</c:v>
                </c:pt>
                <c:pt idx="742">
                  <c:v>1580.2228234311503</c:v>
                </c:pt>
                <c:pt idx="743">
                  <c:v>1571.8080372684353</c:v>
                </c:pt>
                <c:pt idx="744">
                  <c:v>1563.3244372007143</c:v>
                </c:pt>
                <c:pt idx="745">
                  <c:v>1554.7725213863728</c:v>
                </c:pt>
                <c:pt idx="746">
                  <c:v>1546.1527893998395</c:v>
                </c:pt>
                <c:pt idx="747">
                  <c:v>1537.4657421491372</c:v>
                </c:pt>
                <c:pt idx="748">
                  <c:v>1528.711881793934</c:v>
                </c:pt>
                <c:pt idx="749">
                  <c:v>1519.8917116641235</c:v>
                </c:pt>
                <c:pt idx="750">
                  <c:v>1511.0057361789491</c:v>
                </c:pt>
                <c:pt idx="751">
                  <c:v>1502.0544607666966</c:v>
                </c:pt>
                <c:pt idx="752">
                  <c:v>1493.038391784974</c:v>
                </c:pt>
                <c:pt idx="753">
                  <c:v>1483.9580364415965</c:v>
                </c:pt>
                <c:pt idx="754">
                  <c:v>1474.8139027160983</c:v>
                </c:pt>
                <c:pt idx="755">
                  <c:v>1465.6064992818874</c:v>
                </c:pt>
                <c:pt idx="756">
                  <c:v>1456.3363354290618</c:v>
                </c:pt>
                <c:pt idx="757">
                  <c:v>1447.0039209879053</c:v>
                </c:pt>
                <c:pt idx="758">
                  <c:v>1437.6097662530779</c:v>
                </c:pt>
                <c:pt idx="759">
                  <c:v>1428.1543819085182</c:v>
                </c:pt>
                <c:pt idx="760">
                  <c:v>1418.6382789530742</c:v>
                </c:pt>
                <c:pt idx="761">
                  <c:v>1409.0619686268749</c:v>
                </c:pt>
                <c:pt idx="762">
                  <c:v>1399.4259623384605</c:v>
                </c:pt>
                <c:pt idx="763">
                  <c:v>1389.7307715926825</c:v>
                </c:pt>
                <c:pt idx="764">
                  <c:v>1379.9769079193893</c:v>
                </c:pt>
                <c:pt idx="765">
                  <c:v>1370.1648828029088</c:v>
                </c:pt>
                <c:pt idx="766">
                  <c:v>1360.2952076123406</c:v>
                </c:pt>
                <c:pt idx="767">
                  <c:v>1350.368393532671</c:v>
                </c:pt>
                <c:pt idx="768">
                  <c:v>1340.3849514967196</c:v>
                </c:pt>
                <c:pt idx="769">
                  <c:v>1330.3453921179314</c:v>
                </c:pt>
                <c:pt idx="770">
                  <c:v>1320.2502256240211</c:v>
                </c:pt>
                <c:pt idx="771">
                  <c:v>1310.0999617914833</c:v>
                </c:pt>
                <c:pt idx="772">
                  <c:v>1299.8951098809741</c:v>
                </c:pt>
                <c:pt idx="773">
                  <c:v>1289.6361785735753</c:v>
                </c:pt>
                <c:pt idx="774">
                  <c:v>1279.3236759079484</c:v>
                </c:pt>
                <c:pt idx="775">
                  <c:v>1268.9581092183862</c:v>
                </c:pt>
                <c:pt idx="776">
                  <c:v>1258.5399850737683</c:v>
                </c:pt>
                <c:pt idx="777">
                  <c:v>1248.0698092174302</c:v>
                </c:pt>
                <c:pt idx="778">
                  <c:v>1237.5480865079473</c:v>
                </c:pt>
                <c:pt idx="779">
                  <c:v>1226.9753208608438</c:v>
                </c:pt>
                <c:pt idx="780">
                  <c:v>1216.3520151912298</c:v>
                </c:pt>
                <c:pt idx="781">
                  <c:v>1205.6786713573715</c:v>
                </c:pt>
                <c:pt idx="782">
                  <c:v>1194.955790105198</c:v>
                </c:pt>
                <c:pt idx="783">
                  <c:v>1184.1838710137506</c:v>
                </c:pt>
                <c:pt idx="784">
                  <c:v>1173.3634124415751</c:v>
                </c:pt>
                <c:pt idx="785">
                  <c:v>1162.4949114740627</c:v>
                </c:pt>
                <c:pt idx="786">
                  <c:v>1151.5788638717404</c:v>
                </c:pt>
                <c:pt idx="787">
                  <c:v>1140.6157640195113</c:v>
                </c:pt>
                <c:pt idx="788">
                  <c:v>1129.6061048768513</c:v>
                </c:pt>
                <c:pt idx="789">
                  <c:v>1118.550377928957</c:v>
                </c:pt>
                <c:pt idx="790">
                  <c:v>1107.4490731388507</c:v>
                </c:pt>
                <c:pt idx="791">
                  <c:v>1096.3026789004398</c:v>
                </c:pt>
                <c:pt idx="792">
                  <c:v>1085.1116819925312</c:v>
                </c:pt>
                <c:pt idx="793">
                  <c:v>1073.8765675338011</c:v>
                </c:pt>
                <c:pt idx="794">
                  <c:v>1062.5978189387179</c:v>
                </c:pt>
                <c:pt idx="795">
                  <c:v>1051.2759178744179</c:v>
                </c:pt>
                <c:pt idx="796">
                  <c:v>1039.9113442185314</c:v>
                </c:pt>
                <c:pt idx="797">
                  <c:v>1028.5045760179585</c:v>
                </c:pt>
                <c:pt idx="798">
                  <c:v>1017.0560894485898</c:v>
                </c:pt>
                <c:pt idx="799">
                  <c:v>1005.5663587759723</c:v>
                </c:pt>
                <c:pt idx="800">
                  <c:v>994.0358563169151</c:v>
                </c:pt>
                <c:pt idx="801">
                  <c:v>982.4650524020326</c:v>
                </c:pt>
                <c:pt idx="802">
                  <c:v>970.85441533922096</c:v>
                </c:pt>
                <c:pt idx="803">
                  <c:v>959.20441137806461</c:v>
                </c:pt>
                <c:pt idx="804">
                  <c:v>947.51550467516734</c:v>
                </c:pt>
                <c:pt idx="805">
                  <c:v>935.78815726040432</c:v>
                </c:pt>
                <c:pt idx="806">
                  <c:v>924.02282900408977</c:v>
                </c:pt>
                <c:pt idx="807">
                  <c:v>912.21997758505472</c:v>
                </c:pt>
                <c:pt idx="808">
                  <c:v>900.38005845963039</c:v>
                </c:pt>
                <c:pt idx="809">
                  <c:v>888.50352483153017</c:v>
                </c:pt>
                <c:pt idx="810">
                  <c:v>876.5908276226254</c:v>
                </c:pt>
                <c:pt idx="811">
                  <c:v>864.64241544460788</c:v>
                </c:pt>
                <c:pt idx="812">
                  <c:v>852.65873457153316</c:v>
                </c:pt>
                <c:pt idx="813">
                  <c:v>840.64022891323782</c:v>
                </c:pt>
                <c:pt idx="814">
                  <c:v>828.58733998962362</c:v>
                </c:pt>
                <c:pt idx="815">
                  <c:v>816.50050690580144</c:v>
                </c:pt>
                <c:pt idx="816">
                  <c:v>804.38016632808819</c:v>
                </c:pt>
                <c:pt idx="817">
                  <c:v>792.22675246084827</c:v>
                </c:pt>
                <c:pt idx="818">
                  <c:v>780.04069702417269</c:v>
                </c:pt>
                <c:pt idx="819">
                  <c:v>767.82242923238732</c:v>
                </c:pt>
                <c:pt idx="820">
                  <c:v>755.57237577338321</c:v>
                </c:pt>
                <c:pt idx="821">
                  <c:v>743.29096078875898</c:v>
                </c:pt>
                <c:pt idx="822">
                  <c:v>730.97860585476906</c:v>
                </c:pt>
                <c:pt idx="823">
                  <c:v>718.63572996406731</c:v>
                </c:pt>
                <c:pt idx="824">
                  <c:v>706.26274950823881</c:v>
                </c:pt>
                <c:pt idx="825">
                  <c:v>693.86007826111029</c:v>
                </c:pt>
                <c:pt idx="826">
                  <c:v>681.42812736283008</c:v>
                </c:pt>
                <c:pt idx="827">
                  <c:v>668.96730530470893</c:v>
                </c:pt>
                <c:pt idx="828">
                  <c:v>656.47801791481299</c:v>
                </c:pt>
                <c:pt idx="829">
                  <c:v>643.96066834429826</c:v>
                </c:pt>
                <c:pt idx="830">
                  <c:v>631.41565705447874</c:v>
                </c:pt>
                <c:pt idx="831">
                  <c:v>618.84338180461771</c:v>
                </c:pt>
                <c:pt idx="832">
                  <c:v>606.2442376404332</c:v>
                </c:pt>
                <c:pt idx="833">
                  <c:v>593.61861688330771</c:v>
                </c:pt>
                <c:pt idx="834">
                  <c:v>580.96690912019255</c:v>
                </c:pt>
                <c:pt idx="835">
                  <c:v>568.28950119419733</c:v>
                </c:pt>
                <c:pt idx="836">
                  <c:v>555.58677719585432</c:v>
                </c:pt>
                <c:pt idx="837">
                  <c:v>542.85911845504813</c:v>
                </c:pt>
                <c:pt idx="838">
                  <c:v>530.10690353360076</c:v>
                </c:pt>
                <c:pt idx="839">
                  <c:v>517.33050821850213</c:v>
                </c:pt>
                <c:pt idx="840">
                  <c:v>504.53030551577569</c:v>
                </c:pt>
                <c:pt idx="841">
                  <c:v>491.7066656449698</c:v>
                </c:pt>
                <c:pt idx="842">
                  <c:v>478.85995603426403</c:v>
                </c:pt>
                <c:pt idx="843">
                  <c:v>465.99054131618112</c:v>
                </c:pt>
                <c:pt idx="844">
                  <c:v>453.09878332389405</c:v>
                </c:pt>
                <c:pt idx="845">
                  <c:v>440.18504108811806</c:v>
                </c:pt>
                <c:pt idx="846">
                  <c:v>427.24967083457796</c:v>
                </c:pt>
                <c:pt idx="847">
                  <c:v>414.29302598204026</c:v>
                </c:pt>
                <c:pt idx="848">
                  <c:v>401.31545714090038</c:v>
                </c:pt>
                <c:pt idx="849">
                  <c:v>388.31731211231454</c:v>
                </c:pt>
                <c:pt idx="850">
                  <c:v>375.29893588786655</c:v>
                </c:pt>
                <c:pt idx="851">
                  <c:v>362.26067064975933</c:v>
                </c:pt>
                <c:pt idx="852">
                  <c:v>349.20285577152134</c:v>
                </c:pt>
                <c:pt idx="853">
                  <c:v>336.12582781921776</c:v>
                </c:pt>
                <c:pt idx="854">
                  <c:v>323.02992055315639</c:v>
                </c:pt>
                <c:pt idx="855">
                  <c:v>309.91546493007883</c:v>
                </c:pt>
                <c:pt idx="856">
                  <c:v>296.78278910582662</c:v>
                </c:pt>
                <c:pt idx="857">
                  <c:v>283.63221843847282</c:v>
                </c:pt>
                <c:pt idx="858">
                  <c:v>270.46407549190883</c:v>
                </c:pt>
                <c:pt idx="859">
                  <c:v>257.27868003987737</c:v>
                </c:pt>
                <c:pt idx="860">
                  <c:v>244.07634907044164</c:v>
                </c:pt>
                <c:pt idx="861">
                  <c:v>230.85739679088064</c:v>
                </c:pt>
                <c:pt idx="862">
                  <c:v>217.62213463300199</c:v>
                </c:pt>
                <c:pt idx="863">
                  <c:v>204.370871258862</c:v>
                </c:pt>
                <c:pt idx="864">
                  <c:v>191.10391256688396</c:v>
                </c:pt>
                <c:pt idx="865">
                  <c:v>177.82156169836514</c:v>
                </c:pt>
                <c:pt idx="866">
                  <c:v>164.52411904436343</c:v>
                </c:pt>
                <c:pt idx="867">
                  <c:v>151.21188225295407</c:v>
                </c:pt>
                <c:pt idx="868">
                  <c:v>137.8851462368477</c:v>
                </c:pt>
                <c:pt idx="869">
                  <c:v>124.54420318136053</c:v>
                </c:pt>
                <c:pt idx="870">
                  <c:v>111.18934255272758</c:v>
                </c:pt>
                <c:pt idx="871">
                  <c:v>97.820851106750254</c:v>
                </c:pt>
                <c:pt idx="872">
                  <c:v>84.439012897769345</c:v>
                </c:pt>
                <c:pt idx="873">
                  <c:v>71.044109287954825</c:v>
                </c:pt>
                <c:pt idx="874">
                  <c:v>57.636418956903725</c:v>
                </c:pt>
                <c:pt idx="875">
                  <c:v>44.216217911537612</c:v>
                </c:pt>
                <c:pt idx="876">
                  <c:v>30.78377949629121</c:v>
                </c:pt>
                <c:pt idx="877">
                  <c:v>17.339374403583818</c:v>
                </c:pt>
                <c:pt idx="878">
                  <c:v>3.8832706845652005</c:v>
                </c:pt>
                <c:pt idx="879">
                  <c:v>-9.5842662398721146</c:v>
                </c:pt>
                <c:pt idx="880">
                  <c:v>-9.5977394328919523</c:v>
                </c:pt>
                <c:pt idx="881">
                  <c:v>-9.6112126369513167</c:v>
                </c:pt>
                <c:pt idx="882">
                  <c:v>-9.6246858520499483</c:v>
                </c:pt>
                <c:pt idx="883">
                  <c:v>-9.6381590781875897</c:v>
                </c:pt>
                <c:pt idx="884">
                  <c:v>-9.6516323153639831</c:v>
                </c:pt>
                <c:pt idx="885">
                  <c:v>-9.6651055635788676</c:v>
                </c:pt>
                <c:pt idx="886">
                  <c:v>-9.6785788228319873</c:v>
                </c:pt>
                <c:pt idx="887">
                  <c:v>-9.6920520931230829</c:v>
                </c:pt>
                <c:pt idx="888">
                  <c:v>-9.705525374451895</c:v>
                </c:pt>
                <c:pt idx="889">
                  <c:v>-9.718998666818166</c:v>
                </c:pt>
                <c:pt idx="890">
                  <c:v>-9.7324719702216367</c:v>
                </c:pt>
                <c:pt idx="891">
                  <c:v>-9.7459452846620493</c:v>
                </c:pt>
                <c:pt idx="892">
                  <c:v>-9.7594186101391447</c:v>
                </c:pt>
                <c:pt idx="893">
                  <c:v>-9.7728919466526651</c:v>
                </c:pt>
                <c:pt idx="894">
                  <c:v>-9.7863652942023514</c:v>
                </c:pt>
                <c:pt idx="895">
                  <c:v>-9.7998386527879457</c:v>
                </c:pt>
                <c:pt idx="896">
                  <c:v>-9.813312022409189</c:v>
                </c:pt>
                <c:pt idx="897">
                  <c:v>-9.8267854030658235</c:v>
                </c:pt>
                <c:pt idx="898">
                  <c:v>-9.8402587947575899</c:v>
                </c:pt>
                <c:pt idx="899">
                  <c:v>-9.8537321974842307</c:v>
                </c:pt>
                <c:pt idx="900">
                  <c:v>-9.8672056112454865</c:v>
                </c:pt>
                <c:pt idx="901">
                  <c:v>-9.8806790360410979</c:v>
                </c:pt>
                <c:pt idx="902">
                  <c:v>-9.8941524718708092</c:v>
                </c:pt>
                <c:pt idx="903">
                  <c:v>-9.9076259187343592</c:v>
                </c:pt>
                <c:pt idx="904">
                  <c:v>-9.9210993766314903</c:v>
                </c:pt>
                <c:pt idx="905">
                  <c:v>-9.9345728455619451</c:v>
                </c:pt>
                <c:pt idx="906">
                  <c:v>-9.9480463255254641</c:v>
                </c:pt>
                <c:pt idx="907">
                  <c:v>-9.9615198165217897</c:v>
                </c:pt>
                <c:pt idx="908">
                  <c:v>-9.9749933185506627</c:v>
                </c:pt>
                <c:pt idx="909">
                  <c:v>-9.9884668316118255</c:v>
                </c:pt>
                <c:pt idx="910">
                  <c:v>-10.001940355705019</c:v>
                </c:pt>
                <c:pt idx="911">
                  <c:v>-10.015413890829985</c:v>
                </c:pt>
                <c:pt idx="912">
                  <c:v>-10.028887436986464</c:v>
                </c:pt>
                <c:pt idx="913">
                  <c:v>-10.042360994174199</c:v>
                </c:pt>
                <c:pt idx="914">
                  <c:v>-10.055834562392931</c:v>
                </c:pt>
                <c:pt idx="915">
                  <c:v>-10.069308141642402</c:v>
                </c:pt>
                <c:pt idx="916">
                  <c:v>-10.082781731922353</c:v>
                </c:pt>
                <c:pt idx="917">
                  <c:v>-10.096255333232525</c:v>
                </c:pt>
                <c:pt idx="918">
                  <c:v>-10.109728945572662</c:v>
                </c:pt>
                <c:pt idx="919">
                  <c:v>-10.123202568942503</c:v>
                </c:pt>
                <c:pt idx="920">
                  <c:v>-10.136676203341791</c:v>
                </c:pt>
                <c:pt idx="921">
                  <c:v>-10.150149848770267</c:v>
                </c:pt>
                <c:pt idx="922">
                  <c:v>-10.163623505227672</c:v>
                </c:pt>
                <c:pt idx="923">
                  <c:v>-10.177097172713749</c:v>
                </c:pt>
                <c:pt idx="924">
                  <c:v>-10.190570851228239</c:v>
                </c:pt>
                <c:pt idx="925">
                  <c:v>-10.204044540770884</c:v>
                </c:pt>
                <c:pt idx="926">
                  <c:v>-10.217518241341425</c:v>
                </c:pt>
                <c:pt idx="927">
                  <c:v>-10.230991952939604</c:v>
                </c:pt>
                <c:pt idx="928">
                  <c:v>-10.244465675565161</c:v>
                </c:pt>
                <c:pt idx="929">
                  <c:v>-10.25793940921784</c:v>
                </c:pt>
                <c:pt idx="930">
                  <c:v>-10.271413153897381</c:v>
                </c:pt>
                <c:pt idx="931">
                  <c:v>-10.284886909603527</c:v>
                </c:pt>
                <c:pt idx="932">
                  <c:v>-10.298360676336017</c:v>
                </c:pt>
                <c:pt idx="933">
                  <c:v>-10.311834454094596</c:v>
                </c:pt>
                <c:pt idx="934">
                  <c:v>-10.325308242879004</c:v>
                </c:pt>
                <c:pt idx="935">
                  <c:v>-10.338782042688981</c:v>
                </c:pt>
                <c:pt idx="936">
                  <c:v>-10.352255853524271</c:v>
                </c:pt>
                <c:pt idx="937">
                  <c:v>-10.365729675384616</c:v>
                </c:pt>
                <c:pt idx="938">
                  <c:v>-10.379203508269756</c:v>
                </c:pt>
                <c:pt idx="939">
                  <c:v>-10.392677352179433</c:v>
                </c:pt>
                <c:pt idx="940">
                  <c:v>-10.406151207113389</c:v>
                </c:pt>
                <c:pt idx="941">
                  <c:v>-10.419625073071366</c:v>
                </c:pt>
                <c:pt idx="942">
                  <c:v>-10.433098950053104</c:v>
                </c:pt>
                <c:pt idx="943">
                  <c:v>-10.446572838058346</c:v>
                </c:pt>
                <c:pt idx="944">
                  <c:v>-10.460046737086833</c:v>
                </c:pt>
                <c:pt idx="945">
                  <c:v>-10.473520647138306</c:v>
                </c:pt>
                <c:pt idx="946">
                  <c:v>-10.486994568212509</c:v>
                </c:pt>
                <c:pt idx="947">
                  <c:v>-10.500468500309182</c:v>
                </c:pt>
                <c:pt idx="948">
                  <c:v>-10.513942443428068</c:v>
                </c:pt>
                <c:pt idx="949">
                  <c:v>-10.527416397568906</c:v>
                </c:pt>
                <c:pt idx="950">
                  <c:v>-10.540890362731441</c:v>
                </c:pt>
                <c:pt idx="951">
                  <c:v>-10.554364338915411</c:v>
                </c:pt>
                <c:pt idx="952">
                  <c:v>-10.56783832612056</c:v>
                </c:pt>
                <c:pt idx="953">
                  <c:v>-10.58131232434663</c:v>
                </c:pt>
                <c:pt idx="954">
                  <c:v>-10.594786333593362</c:v>
                </c:pt>
                <c:pt idx="955">
                  <c:v>-10.608260353860498</c:v>
                </c:pt>
                <c:pt idx="956">
                  <c:v>-10.621734385147779</c:v>
                </c:pt>
                <c:pt idx="957">
                  <c:v>-10.635208427454947</c:v>
                </c:pt>
                <c:pt idx="958">
                  <c:v>-10.648682480781744</c:v>
                </c:pt>
                <c:pt idx="959">
                  <c:v>-10.662156545127912</c:v>
                </c:pt>
                <c:pt idx="960">
                  <c:v>-10.675630620493191</c:v>
                </c:pt>
                <c:pt idx="961">
                  <c:v>-10.689104706877323</c:v>
                </c:pt>
                <c:pt idx="962">
                  <c:v>-10.702578804280051</c:v>
                </c:pt>
                <c:pt idx="963">
                  <c:v>-10.716052912701118</c:v>
                </c:pt>
                <c:pt idx="964">
                  <c:v>-10.729527032140263</c:v>
                </c:pt>
                <c:pt idx="965">
                  <c:v>-10.743001162597228</c:v>
                </c:pt>
                <c:pt idx="966">
                  <c:v>-10.756475304071754</c:v>
                </c:pt>
                <c:pt idx="967">
                  <c:v>-10.769949456563586</c:v>
                </c:pt>
                <c:pt idx="968">
                  <c:v>-10.783423620072462</c:v>
                </c:pt>
                <c:pt idx="969">
                  <c:v>-10.796897794598125</c:v>
                </c:pt>
                <c:pt idx="970">
                  <c:v>-10.810371980140319</c:v>
                </c:pt>
                <c:pt idx="971">
                  <c:v>-10.823846176698783</c:v>
                </c:pt>
                <c:pt idx="972">
                  <c:v>-10.83732038427326</c:v>
                </c:pt>
                <c:pt idx="973">
                  <c:v>-10.850794602863491</c:v>
                </c:pt>
                <c:pt idx="974">
                  <c:v>-10.864268832469218</c:v>
                </c:pt>
                <c:pt idx="975">
                  <c:v>-10.877743073090183</c:v>
                </c:pt>
                <c:pt idx="976">
                  <c:v>-10.891217324726128</c:v>
                </c:pt>
                <c:pt idx="977">
                  <c:v>-10.904691587376794</c:v>
                </c:pt>
                <c:pt idx="978">
                  <c:v>-10.918165861041922</c:v>
                </c:pt>
                <c:pt idx="979">
                  <c:v>-10.931640145721255</c:v>
                </c:pt>
                <c:pt idx="980">
                  <c:v>-10.945114441414535</c:v>
                </c:pt>
                <c:pt idx="981">
                  <c:v>-10.958588748121503</c:v>
                </c:pt>
                <c:pt idx="982">
                  <c:v>-10.972063065841901</c:v>
                </c:pt>
                <c:pt idx="983">
                  <c:v>-10.98553739457547</c:v>
                </c:pt>
                <c:pt idx="984">
                  <c:v>-10.999011734321952</c:v>
                </c:pt>
                <c:pt idx="985">
                  <c:v>-11.01248608508109</c:v>
                </c:pt>
                <c:pt idx="986">
                  <c:v>-11.025960446852624</c:v>
                </c:pt>
                <c:pt idx="987">
                  <c:v>-11.039434819636297</c:v>
                </c:pt>
                <c:pt idx="988">
                  <c:v>-11.052909203431849</c:v>
                </c:pt>
                <c:pt idx="989">
                  <c:v>-11.066383598239025</c:v>
                </c:pt>
                <c:pt idx="990">
                  <c:v>-11.079858004057563</c:v>
                </c:pt>
                <c:pt idx="991">
                  <c:v>-11.093332420887208</c:v>
                </c:pt>
                <c:pt idx="992">
                  <c:v>-11.1068068487277</c:v>
                </c:pt>
                <c:pt idx="993">
                  <c:v>-11.120281287578782</c:v>
                </c:pt>
                <c:pt idx="994">
                  <c:v>-11.133755737440195</c:v>
                </c:pt>
                <c:pt idx="995">
                  <c:v>-11.14723019831168</c:v>
                </c:pt>
                <c:pt idx="996">
                  <c:v>-11.160704670192981</c:v>
                </c:pt>
                <c:pt idx="997">
                  <c:v>-11.174179153083838</c:v>
                </c:pt>
                <c:pt idx="998">
                  <c:v>-11.187653646983993</c:v>
                </c:pt>
                <c:pt idx="999">
                  <c:v>-11.201128151893187</c:v>
                </c:pt>
                <c:pt idx="1000">
                  <c:v>-11.214602667811162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BC-E84B-8A2E-77A3E8DE6A60}"/>
            </c:ext>
          </c:extLst>
        </c:ser>
        <c:ser>
          <c:idx val="2"/>
          <c:order val="3"/>
          <c:tx>
            <c:strRef>
              <c:f>Trajecto!$B$108</c:f>
              <c:strCache>
                <c:ptCount val="1"/>
                <c:pt idx="0">
                  <c:v>Fusée sous parachute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008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BC-E84B-8A2E-77A3E8DE6A6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Trajecto!$B$131:$B$137</c:f>
              <c:numCache>
                <c:formatCode>0.0</c:formatCode>
                <c:ptCount val="7"/>
                <c:pt idx="0">
                  <c:v>19</c:v>
                </c:pt>
                <c:pt idx="1">
                  <c:v>113.1207895791628</c:v>
                </c:pt>
                <c:pt idx="2">
                  <c:v>207.24157915832561</c:v>
                </c:pt>
                <c:pt idx="3">
                  <c:v>205.48988826324091</c:v>
                </c:pt>
                <c:pt idx="4">
                  <c:v>207.24157915832561</c:v>
                </c:pt>
                <c:pt idx="5">
                  <c:v>201.19988826324089</c:v>
                </c:pt>
                <c:pt idx="6">
                  <c:v>207.24157915832561</c:v>
                </c:pt>
              </c:numCache>
            </c:numRef>
          </c:xVal>
          <c:yVal>
            <c:numRef>
              <c:f>Trajecto!$C$129:$C$135</c:f>
              <c:numCache>
                <c:formatCode>0</c:formatCode>
                <c:ptCount val="7"/>
                <c:pt idx="0">
                  <c:v>2001.5648286462399</c:v>
                </c:pt>
                <c:pt idx="1">
                  <c:v>1000.78241432312</c:v>
                </c:pt>
                <c:pt idx="2">
                  <c:v>0</c:v>
                </c:pt>
                <c:pt idx="3">
                  <c:v>60.310041184911213</c:v>
                </c:pt>
                <c:pt idx="4">
                  <c:v>0</c:v>
                </c:pt>
                <c:pt idx="5">
                  <c:v>22.638259405014793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BC-E84B-8A2E-77A3E8DE6A60}"/>
            </c:ext>
          </c:extLst>
        </c:ser>
        <c:ser>
          <c:idx val="3"/>
          <c:order val="4"/>
          <c:tx>
            <c:strRef>
              <c:f>Trajecto!$B$109</c:f>
              <c:strCache>
                <c:ptCount val="1"/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700" b="1" i="0" u="none" strike="noStrike" baseline="0">
                      <a:solidFill>
                        <a:srgbClr val="FF66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fr-FR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BC-E84B-8A2E-77A3E8DE6A6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Trajecto!$B$148:$B$154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Trajecto!$C$146:$C$152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BC-E84B-8A2E-77A3E8DE6A60}"/>
            </c:ext>
          </c:extLst>
        </c:ser>
        <c:ser>
          <c:idx val="5"/>
          <c:order val="5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Calculs!$AE$4:$AE$1004</c:f>
              <c:numCache>
                <c:formatCode>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C-E84B-8A2E-77A3E8DE6A60}"/>
            </c:ext>
          </c:extLst>
        </c:ser>
        <c:ser>
          <c:idx val="6"/>
          <c:order val="6"/>
          <c:tx>
            <c:strRef>
              <c:f>Trajecto!$B$106</c:f>
              <c:strCache>
                <c:ptCount val="1"/>
                <c:pt idx="0">
                  <c:v>Phase ascendante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000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Trajecto!$B$157</c:f>
              <c:numCache>
                <c:formatCode>General</c:formatCode>
                <c:ptCount val="1"/>
                <c:pt idx="0">
                  <c:v>4.75</c:v>
                </c:pt>
              </c:numCache>
            </c:numRef>
          </c:xVal>
          <c:yVal>
            <c:numRef>
              <c:f>Trajecto!$C$155</c:f>
              <c:numCache>
                <c:formatCode>0</c:formatCode>
                <c:ptCount val="1"/>
                <c:pt idx="0">
                  <c:v>1000.78241432312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C-E84B-8A2E-77A3E8DE6A60}"/>
            </c:ext>
          </c:extLst>
        </c:ser>
        <c:ser>
          <c:idx val="7"/>
          <c:order val="7"/>
          <c:tx>
            <c:strRef>
              <c:f>Trajecto!$B$107</c:f>
              <c:strCache>
                <c:ptCount val="1"/>
                <c:pt idx="0">
                  <c:v>Descente balistique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 b="1" i="0" u="none" strike="noStrike" baseline="0">
                    <a:solidFill>
                      <a:srgbClr val="80808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Trajecto!$B$158</c:f>
              <c:numCache>
                <c:formatCode>General</c:formatCode>
                <c:ptCount val="1"/>
                <c:pt idx="0">
                  <c:v>31.250000000000114</c:v>
                </c:pt>
              </c:numCache>
            </c:numRef>
          </c:xVal>
          <c:yVal>
            <c:numRef>
              <c:f>Trajecto!$C$156</c:f>
              <c:numCache>
                <c:formatCode>0</c:formatCode>
                <c:ptCount val="1"/>
                <c:pt idx="0">
                  <c:v>1001.767878948463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C-E84B-8A2E-77A3E8DE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430064"/>
        <c:axId val="1"/>
      </c:scatterChart>
      <c:valAx>
        <c:axId val="180643006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Trajecto!$B$112</c:f>
              <c:strCache>
                <c:ptCount val="1"/>
                <c:pt idx="0">
                  <c:v>Temps [s]</c:v>
                </c:pt>
              </c:strCache>
            </c:strRef>
          </c:tx>
          <c:layout>
            <c:manualLayout>
              <c:xMode val="edge"/>
              <c:yMode val="edge"/>
              <c:x val="0.60555551848391831"/>
              <c:y val="0.85139305699995049"/>
            </c:manualLayout>
          </c:layout>
          <c:overlay val="0"/>
          <c:spPr>
            <a:solidFill>
              <a:srgbClr val="FFFFFF"/>
            </a:solidFill>
            <a:ln w="25400">
              <a:noFill/>
            </a:ln>
          </c:spPr>
          <c:txPr>
            <a:bodyPr/>
            <a:lstStyle/>
            <a:p>
              <a:pPr>
                <a:defRPr sz="800" b="1" i="0" u="none" strike="noStrike" baseline="0">
                  <a:solidFill>
                    <a:srgbClr val="0000FF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Altitude z [m]</a:t>
                </a:r>
              </a:p>
            </c:rich>
          </c:tx>
          <c:layout>
            <c:manualLayout>
              <c:xMode val="edge"/>
              <c:yMode val="edge"/>
              <c:x val="9.0000333644735087E-2"/>
              <c:y val="6.811139173641030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430064"/>
        <c:crosses val="autoZero"/>
        <c:crossBetween val="midCat"/>
      </c:valAx>
      <c:spPr>
        <a:gradFill rotWithShape="0">
          <a:gsLst>
            <a:gs pos="0">
              <a:srgbClr val="99CCFF"/>
            </a:gs>
            <a:gs pos="100000">
              <a:srgbClr val="FF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Forces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4183243282920064"/>
        </c:manualLayout>
      </c:layout>
      <c:scatterChart>
        <c:scatterStyle val="lineMarker"/>
        <c:varyColors val="0"/>
        <c:ser>
          <c:idx val="1"/>
          <c:order val="0"/>
          <c:tx>
            <c:strRef>
              <c:f>Courbes!$B$134</c:f>
              <c:strCache>
                <c:ptCount val="1"/>
                <c:pt idx="0">
                  <c:v>Poussée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Calculs!$Q$4:$Q$1004</c:f>
              <c:numCache>
                <c:formatCode>0.00</c:formatCode>
                <c:ptCount val="1001"/>
                <c:pt idx="0">
                  <c:v>0</c:v>
                </c:pt>
                <c:pt idx="1">
                  <c:v>214.70000000000002</c:v>
                </c:pt>
                <c:pt idx="2">
                  <c:v>451.48888888888888</c:v>
                </c:pt>
                <c:pt idx="3">
                  <c:v>549.66666666666663</c:v>
                </c:pt>
                <c:pt idx="4">
                  <c:v>647.84444444444443</c:v>
                </c:pt>
                <c:pt idx="5">
                  <c:v>746.02222222222224</c:v>
                </c:pt>
                <c:pt idx="6">
                  <c:v>844.2</c:v>
                </c:pt>
                <c:pt idx="7">
                  <c:v>942.37777777777774</c:v>
                </c:pt>
                <c:pt idx="8">
                  <c:v>1040.5555555555557</c:v>
                </c:pt>
                <c:pt idx="9">
                  <c:v>1138.7333333333331</c:v>
                </c:pt>
                <c:pt idx="10">
                  <c:v>1236.911111111111</c:v>
                </c:pt>
                <c:pt idx="11">
                  <c:v>1278.75</c:v>
                </c:pt>
                <c:pt idx="12">
                  <c:v>1264.25</c:v>
                </c:pt>
                <c:pt idx="13">
                  <c:v>1249.3214285714287</c:v>
                </c:pt>
                <c:pt idx="14">
                  <c:v>1233.9642857142858</c:v>
                </c:pt>
                <c:pt idx="15">
                  <c:v>1218.6071428571429</c:v>
                </c:pt>
                <c:pt idx="16">
                  <c:v>1203.25</c:v>
                </c:pt>
                <c:pt idx="17">
                  <c:v>1187.8928571428571</c:v>
                </c:pt>
                <c:pt idx="18">
                  <c:v>1172.5357142857142</c:v>
                </c:pt>
                <c:pt idx="19">
                  <c:v>1157.1785714285713</c:v>
                </c:pt>
                <c:pt idx="20">
                  <c:v>1141.8214285714284</c:v>
                </c:pt>
                <c:pt idx="21">
                  <c:v>1126.4642857142858</c:v>
                </c:pt>
                <c:pt idx="22">
                  <c:v>1111.1071428571427</c:v>
                </c:pt>
                <c:pt idx="23">
                  <c:v>1095.75</c:v>
                </c:pt>
                <c:pt idx="24">
                  <c:v>1080.3928571428571</c:v>
                </c:pt>
                <c:pt idx="25">
                  <c:v>1065.0357142857142</c:v>
                </c:pt>
                <c:pt idx="26">
                  <c:v>1049.6785714285713</c:v>
                </c:pt>
                <c:pt idx="27">
                  <c:v>1041.8333333333333</c:v>
                </c:pt>
                <c:pt idx="28">
                  <c:v>1041.5</c:v>
                </c:pt>
                <c:pt idx="29">
                  <c:v>1041.1666666666667</c:v>
                </c:pt>
                <c:pt idx="30">
                  <c:v>1040.8333333333333</c:v>
                </c:pt>
                <c:pt idx="31">
                  <c:v>1040.5</c:v>
                </c:pt>
                <c:pt idx="32">
                  <c:v>1040.1666666666667</c:v>
                </c:pt>
                <c:pt idx="33">
                  <c:v>1039.8333333333333</c:v>
                </c:pt>
                <c:pt idx="34">
                  <c:v>1039.5</c:v>
                </c:pt>
                <c:pt idx="35">
                  <c:v>1039.1666666666667</c:v>
                </c:pt>
                <c:pt idx="36">
                  <c:v>1038.8333333333333</c:v>
                </c:pt>
                <c:pt idx="37">
                  <c:v>1038.5</c:v>
                </c:pt>
                <c:pt idx="38">
                  <c:v>1038.1666666666667</c:v>
                </c:pt>
                <c:pt idx="39">
                  <c:v>1037.8333333333333</c:v>
                </c:pt>
                <c:pt idx="40">
                  <c:v>1037.5</c:v>
                </c:pt>
                <c:pt idx="41">
                  <c:v>1037.1666666666667</c:v>
                </c:pt>
                <c:pt idx="42">
                  <c:v>1036.8333333333333</c:v>
                </c:pt>
                <c:pt idx="43">
                  <c:v>1036.5</c:v>
                </c:pt>
                <c:pt idx="44">
                  <c:v>1036.1666666666667</c:v>
                </c:pt>
                <c:pt idx="45">
                  <c:v>1035.8333333333333</c:v>
                </c:pt>
                <c:pt idx="46">
                  <c:v>1035.5</c:v>
                </c:pt>
                <c:pt idx="47">
                  <c:v>1035.1666666666667</c:v>
                </c:pt>
                <c:pt idx="48">
                  <c:v>1034.8333333333333</c:v>
                </c:pt>
                <c:pt idx="49">
                  <c:v>1034.5</c:v>
                </c:pt>
                <c:pt idx="50">
                  <c:v>1034.1666666666667</c:v>
                </c:pt>
                <c:pt idx="51">
                  <c:v>1033.8333333333333</c:v>
                </c:pt>
                <c:pt idx="52">
                  <c:v>1033.5</c:v>
                </c:pt>
                <c:pt idx="53">
                  <c:v>1033.1666666666667</c:v>
                </c:pt>
                <c:pt idx="54">
                  <c:v>1032.8333333333333</c:v>
                </c:pt>
                <c:pt idx="55">
                  <c:v>1032.5</c:v>
                </c:pt>
                <c:pt idx="56">
                  <c:v>1032.1666666666667</c:v>
                </c:pt>
                <c:pt idx="57">
                  <c:v>1031.8333333333333</c:v>
                </c:pt>
                <c:pt idx="58">
                  <c:v>1031.5</c:v>
                </c:pt>
                <c:pt idx="59">
                  <c:v>1031.1666666666667</c:v>
                </c:pt>
                <c:pt idx="60">
                  <c:v>1030.8333333333333</c:v>
                </c:pt>
                <c:pt idx="61">
                  <c:v>1030.5</c:v>
                </c:pt>
                <c:pt idx="62">
                  <c:v>1030.1666666666667</c:v>
                </c:pt>
                <c:pt idx="63">
                  <c:v>1029.8333333333333</c:v>
                </c:pt>
                <c:pt idx="64">
                  <c:v>1029.5</c:v>
                </c:pt>
                <c:pt idx="65">
                  <c:v>1029.1666666666667</c:v>
                </c:pt>
                <c:pt idx="66">
                  <c:v>1028.8333333333333</c:v>
                </c:pt>
                <c:pt idx="67">
                  <c:v>1028.5</c:v>
                </c:pt>
                <c:pt idx="68">
                  <c:v>1028.1666666666667</c:v>
                </c:pt>
                <c:pt idx="69">
                  <c:v>1027.8333333333333</c:v>
                </c:pt>
                <c:pt idx="70">
                  <c:v>1027.5</c:v>
                </c:pt>
                <c:pt idx="71">
                  <c:v>1027.1666666666667</c:v>
                </c:pt>
                <c:pt idx="72">
                  <c:v>1026.7491228070176</c:v>
                </c:pt>
                <c:pt idx="73">
                  <c:v>1026.2473684210527</c:v>
                </c:pt>
                <c:pt idx="74">
                  <c:v>1025.7456140350878</c:v>
                </c:pt>
                <c:pt idx="75">
                  <c:v>1025.2438596491227</c:v>
                </c:pt>
                <c:pt idx="76">
                  <c:v>1024.7421052631578</c:v>
                </c:pt>
                <c:pt idx="77">
                  <c:v>1024.2403508771929</c:v>
                </c:pt>
                <c:pt idx="78">
                  <c:v>1023.738596491228</c:v>
                </c:pt>
                <c:pt idx="79">
                  <c:v>1023.2368421052631</c:v>
                </c:pt>
                <c:pt idx="80">
                  <c:v>1022.7350877192982</c:v>
                </c:pt>
                <c:pt idx="81">
                  <c:v>1022.2333333333333</c:v>
                </c:pt>
                <c:pt idx="82">
                  <c:v>1021.7315789473683</c:v>
                </c:pt>
                <c:pt idx="83">
                  <c:v>1021.2298245614035</c:v>
                </c:pt>
                <c:pt idx="84">
                  <c:v>1020.7280701754386</c:v>
                </c:pt>
                <c:pt idx="85">
                  <c:v>1020.2263157894737</c:v>
                </c:pt>
                <c:pt idx="86">
                  <c:v>1019.7245614035087</c:v>
                </c:pt>
                <c:pt idx="87">
                  <c:v>1019.2228070175438</c:v>
                </c:pt>
                <c:pt idx="88">
                  <c:v>1018.7210526315789</c:v>
                </c:pt>
                <c:pt idx="89">
                  <c:v>1018.219298245614</c:v>
                </c:pt>
                <c:pt idx="90">
                  <c:v>1017.7175438596491</c:v>
                </c:pt>
                <c:pt idx="91">
                  <c:v>1017.2157894736841</c:v>
                </c:pt>
                <c:pt idx="92">
                  <c:v>1016.7140350877193</c:v>
                </c:pt>
                <c:pt idx="93">
                  <c:v>1016.2122807017544</c:v>
                </c:pt>
                <c:pt idx="94">
                  <c:v>1015.7105263157895</c:v>
                </c:pt>
                <c:pt idx="95">
                  <c:v>1015.2087719298245</c:v>
                </c:pt>
                <c:pt idx="96">
                  <c:v>1014.7070175438596</c:v>
                </c:pt>
                <c:pt idx="97">
                  <c:v>1014.2052631578947</c:v>
                </c:pt>
                <c:pt idx="98">
                  <c:v>1013.7035087719298</c:v>
                </c:pt>
                <c:pt idx="99">
                  <c:v>1013.2017543859648</c:v>
                </c:pt>
                <c:pt idx="100">
                  <c:v>1012.6999999999999</c:v>
                </c:pt>
                <c:pt idx="101">
                  <c:v>1012.198245614035</c:v>
                </c:pt>
                <c:pt idx="102">
                  <c:v>1011.6964912280702</c:v>
                </c:pt>
                <c:pt idx="103">
                  <c:v>1011.1947368421052</c:v>
                </c:pt>
                <c:pt idx="104">
                  <c:v>1010.6929824561403</c:v>
                </c:pt>
                <c:pt idx="105">
                  <c:v>1010.1912280701754</c:v>
                </c:pt>
                <c:pt idx="106">
                  <c:v>1009.6894736842105</c:v>
                </c:pt>
                <c:pt idx="107">
                  <c:v>1009.1877192982456</c:v>
                </c:pt>
                <c:pt idx="108">
                  <c:v>1008.6859649122806</c:v>
                </c:pt>
                <c:pt idx="109">
                  <c:v>1008.1842105263157</c:v>
                </c:pt>
                <c:pt idx="110">
                  <c:v>1007.6824561403508</c:v>
                </c:pt>
                <c:pt idx="111">
                  <c:v>1007.180701754386</c:v>
                </c:pt>
                <c:pt idx="112">
                  <c:v>1006.6789473684209</c:v>
                </c:pt>
                <c:pt idx="113">
                  <c:v>1006.1771929824561</c:v>
                </c:pt>
                <c:pt idx="114">
                  <c:v>1005.6754385964912</c:v>
                </c:pt>
                <c:pt idx="115">
                  <c:v>1005.1736842105263</c:v>
                </c:pt>
                <c:pt idx="116">
                  <c:v>1004.6719298245613</c:v>
                </c:pt>
                <c:pt idx="117">
                  <c:v>1004.1701754385964</c:v>
                </c:pt>
                <c:pt idx="118">
                  <c:v>1003.6684210526315</c:v>
                </c:pt>
                <c:pt idx="119">
                  <c:v>1003.1666666666666</c:v>
                </c:pt>
                <c:pt idx="120">
                  <c:v>1002.6649122807017</c:v>
                </c:pt>
                <c:pt idx="121">
                  <c:v>1002.1631578947367</c:v>
                </c:pt>
                <c:pt idx="122">
                  <c:v>1001.6614035087719</c:v>
                </c:pt>
                <c:pt idx="123">
                  <c:v>1001.159649122807</c:v>
                </c:pt>
                <c:pt idx="124">
                  <c:v>1000.6578947368421</c:v>
                </c:pt>
                <c:pt idx="125">
                  <c:v>1000.1561403508771</c:v>
                </c:pt>
                <c:pt idx="126">
                  <c:v>999.65438596491219</c:v>
                </c:pt>
                <c:pt idx="127">
                  <c:v>999.15263157894731</c:v>
                </c:pt>
                <c:pt idx="128">
                  <c:v>998.65087719298242</c:v>
                </c:pt>
                <c:pt idx="129">
                  <c:v>997.77012987012972</c:v>
                </c:pt>
                <c:pt idx="130">
                  <c:v>996.51038961038944</c:v>
                </c:pt>
                <c:pt idx="131">
                  <c:v>995.25064935064916</c:v>
                </c:pt>
                <c:pt idx="132">
                  <c:v>993.99090909090899</c:v>
                </c:pt>
                <c:pt idx="133">
                  <c:v>992.7311688311687</c:v>
                </c:pt>
                <c:pt idx="134">
                  <c:v>991.47142857142842</c:v>
                </c:pt>
                <c:pt idx="135">
                  <c:v>990.21168831168814</c:v>
                </c:pt>
                <c:pt idx="136">
                  <c:v>988.95194805194785</c:v>
                </c:pt>
                <c:pt idx="137">
                  <c:v>987.69220779220768</c:v>
                </c:pt>
                <c:pt idx="138">
                  <c:v>986.4324675324674</c:v>
                </c:pt>
                <c:pt idx="139">
                  <c:v>985.17272727272712</c:v>
                </c:pt>
                <c:pt idx="140">
                  <c:v>983.91298701298683</c:v>
                </c:pt>
                <c:pt idx="141">
                  <c:v>982.65324675324655</c:v>
                </c:pt>
                <c:pt idx="142">
                  <c:v>981.39350649350638</c:v>
                </c:pt>
                <c:pt idx="143">
                  <c:v>980.1337662337661</c:v>
                </c:pt>
                <c:pt idx="144">
                  <c:v>978.87402597402581</c:v>
                </c:pt>
                <c:pt idx="145">
                  <c:v>977.61428571428553</c:v>
                </c:pt>
                <c:pt idx="146">
                  <c:v>976.35454545454525</c:v>
                </c:pt>
                <c:pt idx="147">
                  <c:v>975.09480519480508</c:v>
                </c:pt>
                <c:pt idx="148">
                  <c:v>973.83506493506479</c:v>
                </c:pt>
                <c:pt idx="149">
                  <c:v>972.57532467532451</c:v>
                </c:pt>
                <c:pt idx="150">
                  <c:v>971.31558441558423</c:v>
                </c:pt>
                <c:pt idx="151">
                  <c:v>970.05584415584394</c:v>
                </c:pt>
                <c:pt idx="152">
                  <c:v>968.79610389610366</c:v>
                </c:pt>
                <c:pt idx="153">
                  <c:v>967.53636363636349</c:v>
                </c:pt>
                <c:pt idx="154">
                  <c:v>966.27662337662321</c:v>
                </c:pt>
                <c:pt idx="155">
                  <c:v>965.01688311688292</c:v>
                </c:pt>
                <c:pt idx="156">
                  <c:v>963.75714285714264</c:v>
                </c:pt>
                <c:pt idx="157">
                  <c:v>962.49740259740236</c:v>
                </c:pt>
                <c:pt idx="158">
                  <c:v>961.23766233766219</c:v>
                </c:pt>
                <c:pt idx="159">
                  <c:v>959.9779220779219</c:v>
                </c:pt>
                <c:pt idx="160">
                  <c:v>958.71818181818162</c:v>
                </c:pt>
                <c:pt idx="161">
                  <c:v>957.45844155844134</c:v>
                </c:pt>
                <c:pt idx="162">
                  <c:v>956.19870129870105</c:v>
                </c:pt>
                <c:pt idx="163">
                  <c:v>954.93896103896088</c:v>
                </c:pt>
                <c:pt idx="164">
                  <c:v>953.6792207792206</c:v>
                </c:pt>
                <c:pt idx="165">
                  <c:v>952.41948051948032</c:v>
                </c:pt>
                <c:pt idx="166">
                  <c:v>951.15974025974003</c:v>
                </c:pt>
                <c:pt idx="167">
                  <c:v>949.89999999999975</c:v>
                </c:pt>
                <c:pt idx="168">
                  <c:v>948.64025974025958</c:v>
                </c:pt>
                <c:pt idx="169">
                  <c:v>947.3805194805193</c:v>
                </c:pt>
                <c:pt idx="170">
                  <c:v>946.12077922077901</c:v>
                </c:pt>
                <c:pt idx="171">
                  <c:v>944.86103896103873</c:v>
                </c:pt>
                <c:pt idx="172">
                  <c:v>943.60129870129845</c:v>
                </c:pt>
                <c:pt idx="173">
                  <c:v>942.34155844155828</c:v>
                </c:pt>
                <c:pt idx="174">
                  <c:v>941.08181818181799</c:v>
                </c:pt>
                <c:pt idx="175">
                  <c:v>939.82207792207771</c:v>
                </c:pt>
                <c:pt idx="176">
                  <c:v>938.56233766233743</c:v>
                </c:pt>
                <c:pt idx="177">
                  <c:v>937.30259740259714</c:v>
                </c:pt>
                <c:pt idx="178">
                  <c:v>936.04285714285697</c:v>
                </c:pt>
                <c:pt idx="179">
                  <c:v>934.78311688311669</c:v>
                </c:pt>
                <c:pt idx="180">
                  <c:v>933.52337662337641</c:v>
                </c:pt>
                <c:pt idx="181">
                  <c:v>932.26363636363612</c:v>
                </c:pt>
                <c:pt idx="182">
                  <c:v>931.00389610389584</c:v>
                </c:pt>
                <c:pt idx="183">
                  <c:v>929.74415584415556</c:v>
                </c:pt>
                <c:pt idx="184">
                  <c:v>928.48441558441539</c:v>
                </c:pt>
                <c:pt idx="185">
                  <c:v>927.2246753246751</c:v>
                </c:pt>
                <c:pt idx="186">
                  <c:v>925.96493506493482</c:v>
                </c:pt>
                <c:pt idx="187">
                  <c:v>924.70519480519454</c:v>
                </c:pt>
                <c:pt idx="188">
                  <c:v>923.44545454545437</c:v>
                </c:pt>
                <c:pt idx="189">
                  <c:v>922.18571428571408</c:v>
                </c:pt>
                <c:pt idx="190">
                  <c:v>920.9259740259738</c:v>
                </c:pt>
                <c:pt idx="191">
                  <c:v>919.66623376623352</c:v>
                </c:pt>
                <c:pt idx="192">
                  <c:v>918.40649350649323</c:v>
                </c:pt>
                <c:pt idx="193">
                  <c:v>917.14675324675295</c:v>
                </c:pt>
                <c:pt idx="194">
                  <c:v>915.88701298701278</c:v>
                </c:pt>
                <c:pt idx="195">
                  <c:v>914.6272727272725</c:v>
                </c:pt>
                <c:pt idx="196">
                  <c:v>913.36753246753221</c:v>
                </c:pt>
                <c:pt idx="197">
                  <c:v>912.10779220779193</c:v>
                </c:pt>
                <c:pt idx="198">
                  <c:v>910.84805194805176</c:v>
                </c:pt>
                <c:pt idx="199">
                  <c:v>909.58831168831148</c:v>
                </c:pt>
                <c:pt idx="200">
                  <c:v>908.32857142857119</c:v>
                </c:pt>
                <c:pt idx="201">
                  <c:v>907.06883116883091</c:v>
                </c:pt>
                <c:pt idx="202">
                  <c:v>905.80909090909074</c:v>
                </c:pt>
                <c:pt idx="203">
                  <c:v>904.54935064935046</c:v>
                </c:pt>
                <c:pt idx="204">
                  <c:v>903.28961038961029</c:v>
                </c:pt>
                <c:pt idx="205">
                  <c:v>902.02987012987001</c:v>
                </c:pt>
                <c:pt idx="206">
                  <c:v>900.68055555555543</c:v>
                </c:pt>
                <c:pt idx="207">
                  <c:v>899.24166666666667</c:v>
                </c:pt>
                <c:pt idx="208">
                  <c:v>897.80277777777781</c:v>
                </c:pt>
                <c:pt idx="209">
                  <c:v>896.36388888888894</c:v>
                </c:pt>
                <c:pt idx="210">
                  <c:v>894.92500000000007</c:v>
                </c:pt>
                <c:pt idx="211">
                  <c:v>893.4861111111112</c:v>
                </c:pt>
                <c:pt idx="212">
                  <c:v>892.04722222222233</c:v>
                </c:pt>
                <c:pt idx="213">
                  <c:v>890.60833333333346</c:v>
                </c:pt>
                <c:pt idx="214">
                  <c:v>889.16944444444459</c:v>
                </c:pt>
                <c:pt idx="215">
                  <c:v>887.73055555555584</c:v>
                </c:pt>
                <c:pt idx="216">
                  <c:v>886.29166666666697</c:v>
                </c:pt>
                <c:pt idx="217">
                  <c:v>884.8527777777781</c:v>
                </c:pt>
                <c:pt idx="218">
                  <c:v>883.41388888888923</c:v>
                </c:pt>
                <c:pt idx="219">
                  <c:v>881.97500000000036</c:v>
                </c:pt>
                <c:pt idx="220">
                  <c:v>880.5361111111115</c:v>
                </c:pt>
                <c:pt idx="221">
                  <c:v>879.09722222222263</c:v>
                </c:pt>
                <c:pt idx="222">
                  <c:v>877.65833333333376</c:v>
                </c:pt>
                <c:pt idx="223">
                  <c:v>876.21944444444489</c:v>
                </c:pt>
                <c:pt idx="224">
                  <c:v>874.78055555555613</c:v>
                </c:pt>
                <c:pt idx="225">
                  <c:v>873.34166666666727</c:v>
                </c:pt>
                <c:pt idx="226">
                  <c:v>871.9027777777784</c:v>
                </c:pt>
                <c:pt idx="227">
                  <c:v>870.46388888888953</c:v>
                </c:pt>
                <c:pt idx="228">
                  <c:v>869.02500000000066</c:v>
                </c:pt>
                <c:pt idx="229">
                  <c:v>867.58611111111179</c:v>
                </c:pt>
                <c:pt idx="230">
                  <c:v>866.14722222222292</c:v>
                </c:pt>
                <c:pt idx="231">
                  <c:v>864.70833333333405</c:v>
                </c:pt>
                <c:pt idx="232">
                  <c:v>863.2694444444453</c:v>
                </c:pt>
                <c:pt idx="233">
                  <c:v>861.83055555555643</c:v>
                </c:pt>
                <c:pt idx="234">
                  <c:v>860.39166666666756</c:v>
                </c:pt>
                <c:pt idx="235">
                  <c:v>858.95277777777869</c:v>
                </c:pt>
                <c:pt idx="236">
                  <c:v>857.51388888888982</c:v>
                </c:pt>
                <c:pt idx="237">
                  <c:v>856.07500000000095</c:v>
                </c:pt>
                <c:pt idx="238">
                  <c:v>854.63611111111209</c:v>
                </c:pt>
                <c:pt idx="239">
                  <c:v>853.19722222222322</c:v>
                </c:pt>
                <c:pt idx="240">
                  <c:v>851.75833333333435</c:v>
                </c:pt>
                <c:pt idx="241">
                  <c:v>850.31944444444548</c:v>
                </c:pt>
                <c:pt idx="242">
                  <c:v>848.57500000000164</c:v>
                </c:pt>
                <c:pt idx="243">
                  <c:v>846.52500000000168</c:v>
                </c:pt>
                <c:pt idx="244">
                  <c:v>844.47500000000173</c:v>
                </c:pt>
                <c:pt idx="245">
                  <c:v>842.42500000000177</c:v>
                </c:pt>
                <c:pt idx="246">
                  <c:v>840.37500000000182</c:v>
                </c:pt>
                <c:pt idx="247">
                  <c:v>838.32500000000175</c:v>
                </c:pt>
                <c:pt idx="248">
                  <c:v>836.2750000000018</c:v>
                </c:pt>
                <c:pt idx="249">
                  <c:v>834.22500000000184</c:v>
                </c:pt>
                <c:pt idx="250">
                  <c:v>832.17500000000189</c:v>
                </c:pt>
                <c:pt idx="251">
                  <c:v>830.12500000000193</c:v>
                </c:pt>
                <c:pt idx="252">
                  <c:v>828.07500000000198</c:v>
                </c:pt>
                <c:pt idx="253">
                  <c:v>826.02500000000202</c:v>
                </c:pt>
                <c:pt idx="254">
                  <c:v>823.97500000000207</c:v>
                </c:pt>
                <c:pt idx="255">
                  <c:v>821.92500000000211</c:v>
                </c:pt>
                <c:pt idx="256">
                  <c:v>819.87500000000216</c:v>
                </c:pt>
                <c:pt idx="257">
                  <c:v>817.82500000000221</c:v>
                </c:pt>
                <c:pt idx="258">
                  <c:v>815.77500000000225</c:v>
                </c:pt>
                <c:pt idx="259">
                  <c:v>813.7250000000023</c:v>
                </c:pt>
                <c:pt idx="260">
                  <c:v>811.67500000000234</c:v>
                </c:pt>
                <c:pt idx="261">
                  <c:v>809.62500000000239</c:v>
                </c:pt>
                <c:pt idx="262">
                  <c:v>807.57500000000243</c:v>
                </c:pt>
                <c:pt idx="263">
                  <c:v>805.52500000000248</c:v>
                </c:pt>
                <c:pt idx="264">
                  <c:v>803.47500000000252</c:v>
                </c:pt>
                <c:pt idx="265">
                  <c:v>801.42500000000257</c:v>
                </c:pt>
                <c:pt idx="266">
                  <c:v>799.37500000000261</c:v>
                </c:pt>
                <c:pt idx="267">
                  <c:v>797.32500000000266</c:v>
                </c:pt>
                <c:pt idx="268">
                  <c:v>795.27500000000271</c:v>
                </c:pt>
                <c:pt idx="269">
                  <c:v>793.22500000000275</c:v>
                </c:pt>
                <c:pt idx="270">
                  <c:v>791.1750000000028</c:v>
                </c:pt>
                <c:pt idx="271">
                  <c:v>789.12500000000284</c:v>
                </c:pt>
                <c:pt idx="272">
                  <c:v>787.07500000000289</c:v>
                </c:pt>
                <c:pt idx="273">
                  <c:v>785.02500000000293</c:v>
                </c:pt>
                <c:pt idx="274">
                  <c:v>782.97500000000298</c:v>
                </c:pt>
                <c:pt idx="275">
                  <c:v>780.92500000000302</c:v>
                </c:pt>
                <c:pt idx="276">
                  <c:v>778.87500000000307</c:v>
                </c:pt>
                <c:pt idx="277">
                  <c:v>776.82500000000312</c:v>
                </c:pt>
                <c:pt idx="278">
                  <c:v>774.77500000000316</c:v>
                </c:pt>
                <c:pt idx="279">
                  <c:v>772.72500000000321</c:v>
                </c:pt>
                <c:pt idx="280">
                  <c:v>770.67500000000325</c:v>
                </c:pt>
                <c:pt idx="281">
                  <c:v>768.6250000000033</c:v>
                </c:pt>
                <c:pt idx="282">
                  <c:v>766.57500000000334</c:v>
                </c:pt>
                <c:pt idx="283">
                  <c:v>764.52500000000339</c:v>
                </c:pt>
                <c:pt idx="284">
                  <c:v>762.8285714285737</c:v>
                </c:pt>
                <c:pt idx="285">
                  <c:v>761.48571428571654</c:v>
                </c:pt>
                <c:pt idx="286">
                  <c:v>760.14285714285938</c:v>
                </c:pt>
                <c:pt idx="287">
                  <c:v>758.80000000000234</c:v>
                </c:pt>
                <c:pt idx="288">
                  <c:v>757.45714285714519</c:v>
                </c:pt>
                <c:pt idx="289">
                  <c:v>756.11428571428803</c:v>
                </c:pt>
                <c:pt idx="290">
                  <c:v>754.77142857143099</c:v>
                </c:pt>
                <c:pt idx="291">
                  <c:v>753.42857142857383</c:v>
                </c:pt>
                <c:pt idx="292">
                  <c:v>752.08571428571679</c:v>
                </c:pt>
                <c:pt idx="293">
                  <c:v>750.74285714285963</c:v>
                </c:pt>
                <c:pt idx="294">
                  <c:v>749.40000000000248</c:v>
                </c:pt>
                <c:pt idx="295">
                  <c:v>748.05714285714544</c:v>
                </c:pt>
                <c:pt idx="296">
                  <c:v>746.71428571428828</c:v>
                </c:pt>
                <c:pt idx="297">
                  <c:v>745.37142857143112</c:v>
                </c:pt>
                <c:pt idx="298">
                  <c:v>744.02857142857408</c:v>
                </c:pt>
                <c:pt idx="299">
                  <c:v>742.68571428571693</c:v>
                </c:pt>
                <c:pt idx="300">
                  <c:v>741.34285714285988</c:v>
                </c:pt>
                <c:pt idx="301">
                  <c:v>740.00000000000273</c:v>
                </c:pt>
                <c:pt idx="302">
                  <c:v>738.65714285714557</c:v>
                </c:pt>
                <c:pt idx="303">
                  <c:v>737.31428571428853</c:v>
                </c:pt>
                <c:pt idx="304">
                  <c:v>735.97142857143137</c:v>
                </c:pt>
                <c:pt idx="305">
                  <c:v>734.62857142857422</c:v>
                </c:pt>
                <c:pt idx="306">
                  <c:v>733.28571428571718</c:v>
                </c:pt>
                <c:pt idx="307">
                  <c:v>731.94285714286002</c:v>
                </c:pt>
                <c:pt idx="308">
                  <c:v>730.60000000000286</c:v>
                </c:pt>
                <c:pt idx="309">
                  <c:v>729.25714285714582</c:v>
                </c:pt>
                <c:pt idx="310">
                  <c:v>727.91428571428867</c:v>
                </c:pt>
                <c:pt idx="311">
                  <c:v>726.57142857143162</c:v>
                </c:pt>
                <c:pt idx="312">
                  <c:v>725.22857142857447</c:v>
                </c:pt>
                <c:pt idx="313">
                  <c:v>723.88571428571731</c:v>
                </c:pt>
                <c:pt idx="314">
                  <c:v>722.54285714286027</c:v>
                </c:pt>
                <c:pt idx="315">
                  <c:v>721.20000000000312</c:v>
                </c:pt>
                <c:pt idx="316">
                  <c:v>719.85714285714596</c:v>
                </c:pt>
                <c:pt idx="317">
                  <c:v>718.51428571428892</c:v>
                </c:pt>
                <c:pt idx="318">
                  <c:v>717.17142857143176</c:v>
                </c:pt>
                <c:pt idx="319">
                  <c:v>715.82857142857461</c:v>
                </c:pt>
                <c:pt idx="320">
                  <c:v>714.48571428571756</c:v>
                </c:pt>
                <c:pt idx="321">
                  <c:v>713.14285714286041</c:v>
                </c:pt>
                <c:pt idx="322">
                  <c:v>711.80000000000337</c:v>
                </c:pt>
                <c:pt idx="323">
                  <c:v>710.45714285714621</c:v>
                </c:pt>
                <c:pt idx="324">
                  <c:v>709.11428571428905</c:v>
                </c:pt>
                <c:pt idx="325">
                  <c:v>707.77142857143201</c:v>
                </c:pt>
                <c:pt idx="326">
                  <c:v>706.45000000000334</c:v>
                </c:pt>
                <c:pt idx="327">
                  <c:v>705.15000000000339</c:v>
                </c:pt>
                <c:pt idx="328">
                  <c:v>703.85000000000343</c:v>
                </c:pt>
                <c:pt idx="329">
                  <c:v>702.55000000000337</c:v>
                </c:pt>
                <c:pt idx="330">
                  <c:v>701.25000000000341</c:v>
                </c:pt>
                <c:pt idx="331">
                  <c:v>699.95000000000346</c:v>
                </c:pt>
                <c:pt idx="332">
                  <c:v>698.6500000000035</c:v>
                </c:pt>
                <c:pt idx="333">
                  <c:v>697.35000000000355</c:v>
                </c:pt>
                <c:pt idx="334">
                  <c:v>696.05000000000359</c:v>
                </c:pt>
                <c:pt idx="335">
                  <c:v>694.75000000000352</c:v>
                </c:pt>
                <c:pt idx="336">
                  <c:v>693.45000000000357</c:v>
                </c:pt>
                <c:pt idx="337">
                  <c:v>692.15000000000362</c:v>
                </c:pt>
                <c:pt idx="338">
                  <c:v>690.85000000000366</c:v>
                </c:pt>
                <c:pt idx="339">
                  <c:v>689.55000000000371</c:v>
                </c:pt>
                <c:pt idx="340">
                  <c:v>688.25000000000375</c:v>
                </c:pt>
                <c:pt idx="341">
                  <c:v>686.95000000000368</c:v>
                </c:pt>
                <c:pt idx="342">
                  <c:v>685.65000000000373</c:v>
                </c:pt>
                <c:pt idx="343">
                  <c:v>684.35000000000377</c:v>
                </c:pt>
                <c:pt idx="344">
                  <c:v>683.05000000000382</c:v>
                </c:pt>
                <c:pt idx="345">
                  <c:v>681.75000000000387</c:v>
                </c:pt>
                <c:pt idx="346">
                  <c:v>680.45000000000391</c:v>
                </c:pt>
                <c:pt idx="347">
                  <c:v>679.15000000000396</c:v>
                </c:pt>
                <c:pt idx="348">
                  <c:v>677.85000000000389</c:v>
                </c:pt>
                <c:pt idx="349">
                  <c:v>676.55000000000393</c:v>
                </c:pt>
                <c:pt idx="350">
                  <c:v>675.25000000000398</c:v>
                </c:pt>
                <c:pt idx="351">
                  <c:v>673.95000000000402</c:v>
                </c:pt>
                <c:pt idx="352">
                  <c:v>672.65000000000407</c:v>
                </c:pt>
                <c:pt idx="353">
                  <c:v>671.35000000000412</c:v>
                </c:pt>
                <c:pt idx="354">
                  <c:v>670.05000000000405</c:v>
                </c:pt>
                <c:pt idx="355">
                  <c:v>668.75000000000409</c:v>
                </c:pt>
                <c:pt idx="356">
                  <c:v>667.45000000000414</c:v>
                </c:pt>
                <c:pt idx="357">
                  <c:v>666.15000000000418</c:v>
                </c:pt>
                <c:pt idx="358">
                  <c:v>664.85000000000423</c:v>
                </c:pt>
                <c:pt idx="359">
                  <c:v>663.55000000000427</c:v>
                </c:pt>
                <c:pt idx="360">
                  <c:v>662.25000000000421</c:v>
                </c:pt>
                <c:pt idx="361">
                  <c:v>660.95000000000425</c:v>
                </c:pt>
                <c:pt idx="362">
                  <c:v>659.6500000000043</c:v>
                </c:pt>
                <c:pt idx="363">
                  <c:v>658.35000000000434</c:v>
                </c:pt>
                <c:pt idx="364">
                  <c:v>657.05000000000439</c:v>
                </c:pt>
                <c:pt idx="365">
                  <c:v>655.75000000000443</c:v>
                </c:pt>
                <c:pt idx="366">
                  <c:v>654.98666666666747</c:v>
                </c:pt>
                <c:pt idx="367">
                  <c:v>654.76000000000079</c:v>
                </c:pt>
                <c:pt idx="368">
                  <c:v>654.5333333333341</c:v>
                </c:pt>
                <c:pt idx="369">
                  <c:v>654.30666666666752</c:v>
                </c:pt>
                <c:pt idx="370">
                  <c:v>654.08000000000084</c:v>
                </c:pt>
                <c:pt idx="371">
                  <c:v>653.85333333333415</c:v>
                </c:pt>
                <c:pt idx="372">
                  <c:v>653.62666666666746</c:v>
                </c:pt>
                <c:pt idx="373">
                  <c:v>653.40000000000089</c:v>
                </c:pt>
                <c:pt idx="374">
                  <c:v>653.1733333333342</c:v>
                </c:pt>
                <c:pt idx="375">
                  <c:v>652.94666666666751</c:v>
                </c:pt>
                <c:pt idx="376">
                  <c:v>652.72000000000082</c:v>
                </c:pt>
                <c:pt idx="377">
                  <c:v>652.49333333333425</c:v>
                </c:pt>
                <c:pt idx="378">
                  <c:v>652.26666666666756</c:v>
                </c:pt>
                <c:pt idx="379">
                  <c:v>652.04000000000087</c:v>
                </c:pt>
                <c:pt idx="380">
                  <c:v>651.81333333333419</c:v>
                </c:pt>
                <c:pt idx="381">
                  <c:v>651.01000000000511</c:v>
                </c:pt>
                <c:pt idx="382">
                  <c:v>649.63000000000523</c:v>
                </c:pt>
                <c:pt idx="383">
                  <c:v>648.25000000000523</c:v>
                </c:pt>
                <c:pt idx="384">
                  <c:v>646.87000000000523</c:v>
                </c:pt>
                <c:pt idx="385">
                  <c:v>645.49000000000524</c:v>
                </c:pt>
                <c:pt idx="386">
                  <c:v>644.11000000000524</c:v>
                </c:pt>
                <c:pt idx="387">
                  <c:v>642.73000000000536</c:v>
                </c:pt>
                <c:pt idx="388">
                  <c:v>641.35000000000537</c:v>
                </c:pt>
                <c:pt idx="389">
                  <c:v>639.97000000000537</c:v>
                </c:pt>
                <c:pt idx="390">
                  <c:v>638.59000000000538</c:v>
                </c:pt>
                <c:pt idx="391">
                  <c:v>637.21000000000549</c:v>
                </c:pt>
                <c:pt idx="392">
                  <c:v>635.8300000000055</c:v>
                </c:pt>
                <c:pt idx="393">
                  <c:v>634.4500000000055</c:v>
                </c:pt>
                <c:pt idx="394">
                  <c:v>633.07000000000551</c:v>
                </c:pt>
                <c:pt idx="395">
                  <c:v>631.69000000000551</c:v>
                </c:pt>
                <c:pt idx="396">
                  <c:v>630.31000000000563</c:v>
                </c:pt>
                <c:pt idx="397">
                  <c:v>628.93000000000563</c:v>
                </c:pt>
                <c:pt idx="398">
                  <c:v>627.55000000000564</c:v>
                </c:pt>
                <c:pt idx="399">
                  <c:v>626.17000000000564</c:v>
                </c:pt>
                <c:pt idx="400">
                  <c:v>624.79000000000565</c:v>
                </c:pt>
                <c:pt idx="401">
                  <c:v>622.96000000000936</c:v>
                </c:pt>
                <c:pt idx="402">
                  <c:v>620.68000000000939</c:v>
                </c:pt>
                <c:pt idx="403">
                  <c:v>618.40000000000941</c:v>
                </c:pt>
                <c:pt idx="404">
                  <c:v>616.12000000000944</c:v>
                </c:pt>
                <c:pt idx="405">
                  <c:v>613.84000000000947</c:v>
                </c:pt>
                <c:pt idx="406">
                  <c:v>611.5600000000095</c:v>
                </c:pt>
                <c:pt idx="407">
                  <c:v>609.28000000000952</c:v>
                </c:pt>
                <c:pt idx="408">
                  <c:v>607.00000000000955</c:v>
                </c:pt>
                <c:pt idx="409">
                  <c:v>604.72000000000958</c:v>
                </c:pt>
                <c:pt idx="410">
                  <c:v>602.4400000000096</c:v>
                </c:pt>
                <c:pt idx="411">
                  <c:v>597.6833333333642</c:v>
                </c:pt>
                <c:pt idx="412">
                  <c:v>590.45000000003108</c:v>
                </c:pt>
                <c:pt idx="413">
                  <c:v>583.21666666669807</c:v>
                </c:pt>
                <c:pt idx="414">
                  <c:v>575.98333333336495</c:v>
                </c:pt>
                <c:pt idx="415">
                  <c:v>568.75000000003183</c:v>
                </c:pt>
                <c:pt idx="416">
                  <c:v>561.51666666669871</c:v>
                </c:pt>
                <c:pt idx="417">
                  <c:v>554.28333333336559</c:v>
                </c:pt>
                <c:pt idx="418">
                  <c:v>547.05000000003247</c:v>
                </c:pt>
                <c:pt idx="419">
                  <c:v>539.81666666669935</c:v>
                </c:pt>
                <c:pt idx="420">
                  <c:v>531.17916666671226</c:v>
                </c:pt>
                <c:pt idx="421">
                  <c:v>521.13750000004575</c:v>
                </c:pt>
                <c:pt idx="422">
                  <c:v>511.09583333337923</c:v>
                </c:pt>
                <c:pt idx="423">
                  <c:v>501.05416666671272</c:v>
                </c:pt>
                <c:pt idx="424">
                  <c:v>491.0125000000462</c:v>
                </c:pt>
                <c:pt idx="425">
                  <c:v>480.97083333337969</c:v>
                </c:pt>
                <c:pt idx="426">
                  <c:v>470.92916666671312</c:v>
                </c:pt>
                <c:pt idx="427">
                  <c:v>460.8875000000466</c:v>
                </c:pt>
                <c:pt idx="428">
                  <c:v>450.84583333338009</c:v>
                </c:pt>
                <c:pt idx="429">
                  <c:v>440.80416666671357</c:v>
                </c:pt>
                <c:pt idx="430">
                  <c:v>430.76250000004705</c:v>
                </c:pt>
                <c:pt idx="431">
                  <c:v>420.72083333338054</c:v>
                </c:pt>
                <c:pt idx="432">
                  <c:v>408.42500000006868</c:v>
                </c:pt>
                <c:pt idx="433">
                  <c:v>393.87500000006906</c:v>
                </c:pt>
                <c:pt idx="434">
                  <c:v>379.32500000006945</c:v>
                </c:pt>
                <c:pt idx="435">
                  <c:v>364.77500000006984</c:v>
                </c:pt>
                <c:pt idx="436">
                  <c:v>350.22500000007022</c:v>
                </c:pt>
                <c:pt idx="437">
                  <c:v>335.67500000007061</c:v>
                </c:pt>
                <c:pt idx="438">
                  <c:v>321.125000000071</c:v>
                </c:pt>
                <c:pt idx="439">
                  <c:v>306.57500000007138</c:v>
                </c:pt>
                <c:pt idx="440">
                  <c:v>292.02500000007177</c:v>
                </c:pt>
                <c:pt idx="441">
                  <c:v>277.47500000007216</c:v>
                </c:pt>
                <c:pt idx="442">
                  <c:v>264.29090909096794</c:v>
                </c:pt>
                <c:pt idx="443">
                  <c:v>252.47272727278633</c:v>
                </c:pt>
                <c:pt idx="444">
                  <c:v>240.65454545460472</c:v>
                </c:pt>
                <c:pt idx="445">
                  <c:v>228.83636363642307</c:v>
                </c:pt>
                <c:pt idx="446">
                  <c:v>217.01818181824146</c:v>
                </c:pt>
                <c:pt idx="447">
                  <c:v>205.20000000005982</c:v>
                </c:pt>
                <c:pt idx="448">
                  <c:v>193.3818181818782</c:v>
                </c:pt>
                <c:pt idx="449">
                  <c:v>181.56363636369656</c:v>
                </c:pt>
                <c:pt idx="450">
                  <c:v>169.74545454551495</c:v>
                </c:pt>
                <c:pt idx="451">
                  <c:v>157.92727272733333</c:v>
                </c:pt>
                <c:pt idx="452">
                  <c:v>146.10909090915169</c:v>
                </c:pt>
                <c:pt idx="453">
                  <c:v>136.24375000004085</c:v>
                </c:pt>
                <c:pt idx="454">
                  <c:v>128.33125000004102</c:v>
                </c:pt>
                <c:pt idx="455">
                  <c:v>120.4187500000412</c:v>
                </c:pt>
                <c:pt idx="456">
                  <c:v>112.50625000004138</c:v>
                </c:pt>
                <c:pt idx="457">
                  <c:v>104.59375000004155</c:v>
                </c:pt>
                <c:pt idx="458">
                  <c:v>96.681250000041729</c:v>
                </c:pt>
                <c:pt idx="459">
                  <c:v>88.768750000041905</c:v>
                </c:pt>
                <c:pt idx="460">
                  <c:v>80.856250000042081</c:v>
                </c:pt>
                <c:pt idx="461">
                  <c:v>74.700000000023536</c:v>
                </c:pt>
                <c:pt idx="462">
                  <c:v>70.300000000023687</c:v>
                </c:pt>
                <c:pt idx="463">
                  <c:v>65.900000000023837</c:v>
                </c:pt>
                <c:pt idx="464">
                  <c:v>61.500000000023995</c:v>
                </c:pt>
                <c:pt idx="465">
                  <c:v>57.100000000024153</c:v>
                </c:pt>
                <c:pt idx="466">
                  <c:v>51.225000000040474</c:v>
                </c:pt>
                <c:pt idx="467">
                  <c:v>43.875000000040473</c:v>
                </c:pt>
                <c:pt idx="468">
                  <c:v>20.100000000221371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3-7045-93AD-06357D4BED02}"/>
            </c:ext>
          </c:extLst>
        </c:ser>
        <c:ser>
          <c:idx val="2"/>
          <c:order val="1"/>
          <c:tx>
            <c:strRef>
              <c:f>Courbes!$B$135</c:f>
              <c:strCache>
                <c:ptCount val="1"/>
                <c:pt idx="0">
                  <c:v>Poids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Calculs!$T$4:$T$1004</c:f>
              <c:numCache>
                <c:formatCode>0.00</c:formatCode>
                <c:ptCount val="1001"/>
                <c:pt idx="0">
                  <c:v>122.73291</c:v>
                </c:pt>
                <c:pt idx="1">
                  <c:v>122.72235932965609</c:v>
                </c:pt>
                <c:pt idx="2">
                  <c:v>122.70017250883352</c:v>
                </c:pt>
                <c:pt idx="3">
                  <c:v>122.67316108918267</c:v>
                </c:pt>
                <c:pt idx="4">
                  <c:v>122.64132507070353</c:v>
                </c:pt>
                <c:pt idx="5">
                  <c:v>122.60466445339611</c:v>
                </c:pt>
                <c:pt idx="6">
                  <c:v>122.56317923726043</c:v>
                </c:pt>
                <c:pt idx="7">
                  <c:v>122.51686942229645</c:v>
                </c:pt>
                <c:pt idx="8">
                  <c:v>122.46573500850421</c:v>
                </c:pt>
                <c:pt idx="9">
                  <c:v>122.40977599588368</c:v>
                </c:pt>
                <c:pt idx="10">
                  <c:v>122.34899238443489</c:v>
                </c:pt>
                <c:pt idx="11">
                  <c:v>122.2861527491192</c:v>
                </c:pt>
                <c:pt idx="12">
                  <c:v>122.22402566489799</c:v>
                </c:pt>
                <c:pt idx="13">
                  <c:v>122.16263219239475</c:v>
                </c:pt>
                <c:pt idx="14">
                  <c:v>122.10199339223298</c:v>
                </c:pt>
                <c:pt idx="15">
                  <c:v>122.04210926441266</c:v>
                </c:pt>
                <c:pt idx="16">
                  <c:v>121.98297980893378</c:v>
                </c:pt>
                <c:pt idx="17">
                  <c:v>121.92460502579635</c:v>
                </c:pt>
                <c:pt idx="18">
                  <c:v>121.86698491500039</c:v>
                </c:pt>
                <c:pt idx="19">
                  <c:v>121.81011947654588</c:v>
                </c:pt>
                <c:pt idx="20">
                  <c:v>121.75400871043281</c:v>
                </c:pt>
                <c:pt idx="21">
                  <c:v>121.69865261666121</c:v>
                </c:pt>
                <c:pt idx="22">
                  <c:v>121.64405119523104</c:v>
                </c:pt>
                <c:pt idx="23">
                  <c:v>121.59020444614235</c:v>
                </c:pt>
                <c:pt idx="24">
                  <c:v>121.53711236939509</c:v>
                </c:pt>
                <c:pt idx="25">
                  <c:v>121.4847749649893</c:v>
                </c:pt>
                <c:pt idx="26">
                  <c:v>121.43319223292495</c:v>
                </c:pt>
                <c:pt idx="27">
                  <c:v>121.3819950272738</c:v>
                </c:pt>
                <c:pt idx="28">
                  <c:v>121.3308142021076</c:v>
                </c:pt>
                <c:pt idx="29">
                  <c:v>121.27964975742631</c:v>
                </c:pt>
                <c:pt idx="30">
                  <c:v>121.22850169322996</c:v>
                </c:pt>
                <c:pt idx="31">
                  <c:v>121.17737000951853</c:v>
                </c:pt>
                <c:pt idx="32">
                  <c:v>121.12625470629204</c:v>
                </c:pt>
                <c:pt idx="33">
                  <c:v>121.07515578355047</c:v>
                </c:pt>
                <c:pt idx="34">
                  <c:v>121.02407324129385</c:v>
                </c:pt>
                <c:pt idx="35">
                  <c:v>120.97300707952215</c:v>
                </c:pt>
                <c:pt idx="36">
                  <c:v>120.92195729823538</c:v>
                </c:pt>
                <c:pt idx="37">
                  <c:v>120.87092389743353</c:v>
                </c:pt>
                <c:pt idx="38">
                  <c:v>120.81990687711662</c:v>
                </c:pt>
                <c:pt idx="39">
                  <c:v>120.76890623728464</c:v>
                </c:pt>
                <c:pt idx="40">
                  <c:v>120.71792197793761</c:v>
                </c:pt>
                <c:pt idx="41">
                  <c:v>120.66695409907548</c:v>
                </c:pt>
                <c:pt idx="42">
                  <c:v>120.61600260069829</c:v>
                </c:pt>
                <c:pt idx="43">
                  <c:v>120.56506748280603</c:v>
                </c:pt>
                <c:pt idx="44">
                  <c:v>120.51414874539871</c:v>
                </c:pt>
                <c:pt idx="45">
                  <c:v>120.46324638847632</c:v>
                </c:pt>
                <c:pt idx="46">
                  <c:v>120.41236041203886</c:v>
                </c:pt>
                <c:pt idx="47">
                  <c:v>120.36149081608633</c:v>
                </c:pt>
                <c:pt idx="48">
                  <c:v>120.31063760061873</c:v>
                </c:pt>
                <c:pt idx="49">
                  <c:v>120.25980076563607</c:v>
                </c:pt>
                <c:pt idx="50">
                  <c:v>120.20898031113832</c:v>
                </c:pt>
                <c:pt idx="51">
                  <c:v>120.1581762371255</c:v>
                </c:pt>
                <c:pt idx="52">
                  <c:v>120.10738854359764</c:v>
                </c:pt>
                <c:pt idx="53">
                  <c:v>120.05661723055469</c:v>
                </c:pt>
                <c:pt idx="54">
                  <c:v>120.00586229799667</c:v>
                </c:pt>
                <c:pt idx="55">
                  <c:v>119.95512374592359</c:v>
                </c:pt>
                <c:pt idx="56">
                  <c:v>119.90440157433542</c:v>
                </c:pt>
                <c:pt idx="57">
                  <c:v>119.85369578323221</c:v>
                </c:pt>
                <c:pt idx="58">
                  <c:v>119.80300637261392</c:v>
                </c:pt>
                <c:pt idx="59">
                  <c:v>119.75233334248055</c:v>
                </c:pt>
                <c:pt idx="60">
                  <c:v>119.70167669283212</c:v>
                </c:pt>
                <c:pt idx="61">
                  <c:v>119.65103642366863</c:v>
                </c:pt>
                <c:pt idx="62">
                  <c:v>119.60041253499007</c:v>
                </c:pt>
                <c:pt idx="63">
                  <c:v>119.54980502679642</c:v>
                </c:pt>
                <c:pt idx="64">
                  <c:v>119.49921389908771</c:v>
                </c:pt>
                <c:pt idx="65">
                  <c:v>119.44863915186393</c:v>
                </c:pt>
                <c:pt idx="66">
                  <c:v>119.39808078512509</c:v>
                </c:pt>
                <c:pt idx="67">
                  <c:v>119.34753879887117</c:v>
                </c:pt>
                <c:pt idx="68">
                  <c:v>119.29701319310219</c:v>
                </c:pt>
                <c:pt idx="69">
                  <c:v>119.24650396781813</c:v>
                </c:pt>
                <c:pt idx="70">
                  <c:v>119.19601112301901</c:v>
                </c:pt>
                <c:pt idx="71">
                  <c:v>119.1455346587048</c:v>
                </c:pt>
                <c:pt idx="72">
                  <c:v>119.09507871310332</c:v>
                </c:pt>
                <c:pt idx="73">
                  <c:v>119.0446474244423</c:v>
                </c:pt>
                <c:pt idx="74">
                  <c:v>118.99424079272175</c:v>
                </c:pt>
                <c:pt idx="75">
                  <c:v>118.94385881794169</c:v>
                </c:pt>
                <c:pt idx="76">
                  <c:v>118.89350150010209</c:v>
                </c:pt>
                <c:pt idx="77">
                  <c:v>118.84316883920297</c:v>
                </c:pt>
                <c:pt idx="78">
                  <c:v>118.79286083524434</c:v>
                </c:pt>
                <c:pt idx="79">
                  <c:v>118.74257748822617</c:v>
                </c:pt>
                <c:pt idx="80">
                  <c:v>118.69231879814849</c:v>
                </c:pt>
                <c:pt idx="81">
                  <c:v>118.64208476501128</c:v>
                </c:pt>
                <c:pt idx="82">
                  <c:v>118.59187538881451</c:v>
                </c:pt>
                <c:pt idx="83">
                  <c:v>118.54169066955825</c:v>
                </c:pt>
                <c:pt idx="84">
                  <c:v>118.49153060724245</c:v>
                </c:pt>
                <c:pt idx="85">
                  <c:v>118.44139520186714</c:v>
                </c:pt>
                <c:pt idx="86">
                  <c:v>118.39128445343229</c:v>
                </c:pt>
                <c:pt idx="87">
                  <c:v>118.34119836193794</c:v>
                </c:pt>
                <c:pt idx="88">
                  <c:v>118.29113692738404</c:v>
                </c:pt>
                <c:pt idx="89">
                  <c:v>118.24110014977062</c:v>
                </c:pt>
                <c:pt idx="90">
                  <c:v>118.19108802909767</c:v>
                </c:pt>
                <c:pt idx="91">
                  <c:v>118.14110056536519</c:v>
                </c:pt>
                <c:pt idx="92">
                  <c:v>118.0911377585732</c:v>
                </c:pt>
                <c:pt idx="93">
                  <c:v>118.04119960872168</c:v>
                </c:pt>
                <c:pt idx="94">
                  <c:v>117.99128611581064</c:v>
                </c:pt>
                <c:pt idx="95">
                  <c:v>117.94139727984006</c:v>
                </c:pt>
                <c:pt idx="96">
                  <c:v>117.89153310080998</c:v>
                </c:pt>
                <c:pt idx="97">
                  <c:v>117.84169357872035</c:v>
                </c:pt>
                <c:pt idx="98">
                  <c:v>117.79187871357121</c:v>
                </c:pt>
                <c:pt idx="99">
                  <c:v>117.74208850536253</c:v>
                </c:pt>
                <c:pt idx="100">
                  <c:v>117.69232295409434</c:v>
                </c:pt>
                <c:pt idx="101">
                  <c:v>117.64258205976661</c:v>
                </c:pt>
                <c:pt idx="102">
                  <c:v>117.59286582237937</c:v>
                </c:pt>
                <c:pt idx="103">
                  <c:v>117.5431742419326</c:v>
                </c:pt>
                <c:pt idx="104">
                  <c:v>117.4935073184263</c:v>
                </c:pt>
                <c:pt idx="105">
                  <c:v>117.44386505186047</c:v>
                </c:pt>
                <c:pt idx="106">
                  <c:v>117.39424744223513</c:v>
                </c:pt>
                <c:pt idx="107">
                  <c:v>117.34465448955024</c:v>
                </c:pt>
                <c:pt idx="108">
                  <c:v>117.29508619380584</c:v>
                </c:pt>
                <c:pt idx="109">
                  <c:v>117.24554255500192</c:v>
                </c:pt>
                <c:pt idx="110">
                  <c:v>117.19602357313848</c:v>
                </c:pt>
                <c:pt idx="111">
                  <c:v>117.1465292482155</c:v>
                </c:pt>
                <c:pt idx="112">
                  <c:v>117.09705958023301</c:v>
                </c:pt>
                <c:pt idx="113">
                  <c:v>117.04761456919098</c:v>
                </c:pt>
                <c:pt idx="114">
                  <c:v>116.99819421508943</c:v>
                </c:pt>
                <c:pt idx="115">
                  <c:v>116.94879851792835</c:v>
                </c:pt>
                <c:pt idx="116">
                  <c:v>116.89942747770775</c:v>
                </c:pt>
                <c:pt idx="117">
                  <c:v>116.85008109442762</c:v>
                </c:pt>
                <c:pt idx="118">
                  <c:v>116.80075936808797</c:v>
                </c:pt>
                <c:pt idx="119">
                  <c:v>116.75146229868881</c:v>
                </c:pt>
                <c:pt idx="120">
                  <c:v>116.7021898862301</c:v>
                </c:pt>
                <c:pt idx="121">
                  <c:v>116.65294213071186</c:v>
                </c:pt>
                <c:pt idx="122">
                  <c:v>116.60371903213412</c:v>
                </c:pt>
                <c:pt idx="123">
                  <c:v>116.55452059049684</c:v>
                </c:pt>
                <c:pt idx="124">
                  <c:v>116.50534680580003</c:v>
                </c:pt>
                <c:pt idx="125">
                  <c:v>116.45619767804371</c:v>
                </c:pt>
                <c:pt idx="126">
                  <c:v>116.40707320722785</c:v>
                </c:pt>
                <c:pt idx="127">
                  <c:v>116.35797339335248</c:v>
                </c:pt>
                <c:pt idx="128">
                  <c:v>116.30889823641758</c:v>
                </c:pt>
                <c:pt idx="129">
                  <c:v>116.25986636068743</c:v>
                </c:pt>
                <c:pt idx="130">
                  <c:v>116.21089639042629</c:v>
                </c:pt>
                <c:pt idx="131">
                  <c:v>116.16198832563418</c:v>
                </c:pt>
                <c:pt idx="132">
                  <c:v>116.11314216631111</c:v>
                </c:pt>
                <c:pt idx="133">
                  <c:v>116.06435791245704</c:v>
                </c:pt>
                <c:pt idx="134">
                  <c:v>116.01563556407201</c:v>
                </c:pt>
                <c:pt idx="135">
                  <c:v>115.96697512115601</c:v>
                </c:pt>
                <c:pt idx="136">
                  <c:v>115.91837658370903</c:v>
                </c:pt>
                <c:pt idx="137">
                  <c:v>115.86983995173108</c:v>
                </c:pt>
                <c:pt idx="138">
                  <c:v>115.82136522522214</c:v>
                </c:pt>
                <c:pt idx="139">
                  <c:v>115.77295240418221</c:v>
                </c:pt>
                <c:pt idx="140">
                  <c:v>115.72460148861131</c:v>
                </c:pt>
                <c:pt idx="141">
                  <c:v>115.67631247850944</c:v>
                </c:pt>
                <c:pt idx="142">
                  <c:v>115.6280853738766</c:v>
                </c:pt>
                <c:pt idx="143">
                  <c:v>115.57992017471278</c:v>
                </c:pt>
                <c:pt idx="144">
                  <c:v>115.53181688101799</c:v>
                </c:pt>
                <c:pt idx="145">
                  <c:v>115.48377549279223</c:v>
                </c:pt>
                <c:pt idx="146">
                  <c:v>115.43579601003549</c:v>
                </c:pt>
                <c:pt idx="147">
                  <c:v>115.38787843274777</c:v>
                </c:pt>
                <c:pt idx="148">
                  <c:v>115.34002276092909</c:v>
                </c:pt>
                <c:pt idx="149">
                  <c:v>115.29222899457942</c:v>
                </c:pt>
                <c:pt idx="150">
                  <c:v>115.24449713369876</c:v>
                </c:pt>
                <c:pt idx="151">
                  <c:v>115.19682717828712</c:v>
                </c:pt>
                <c:pt idx="152">
                  <c:v>115.14921912834453</c:v>
                </c:pt>
                <c:pt idx="153">
                  <c:v>115.10167298387094</c:v>
                </c:pt>
                <c:pt idx="154">
                  <c:v>115.05418874486639</c:v>
                </c:pt>
                <c:pt idx="155">
                  <c:v>115.00676641133086</c:v>
                </c:pt>
                <c:pt idx="156">
                  <c:v>114.95940598326436</c:v>
                </c:pt>
                <c:pt idx="157">
                  <c:v>114.91210746066687</c:v>
                </c:pt>
                <c:pt idx="158">
                  <c:v>114.86487084353843</c:v>
                </c:pt>
                <c:pt idx="159">
                  <c:v>114.817696131879</c:v>
                </c:pt>
                <c:pt idx="160">
                  <c:v>114.77058332568859</c:v>
                </c:pt>
                <c:pt idx="161">
                  <c:v>114.72353242496722</c:v>
                </c:pt>
                <c:pt idx="162">
                  <c:v>114.67654342971487</c:v>
                </c:pt>
                <c:pt idx="163">
                  <c:v>114.62961633993153</c:v>
                </c:pt>
                <c:pt idx="164">
                  <c:v>114.5827511556172</c:v>
                </c:pt>
                <c:pt idx="165">
                  <c:v>114.53594787677191</c:v>
                </c:pt>
                <c:pt idx="166">
                  <c:v>114.48920650339565</c:v>
                </c:pt>
                <c:pt idx="167">
                  <c:v>114.44252703548841</c:v>
                </c:pt>
                <c:pt idx="168">
                  <c:v>114.3959094730502</c:v>
                </c:pt>
                <c:pt idx="169">
                  <c:v>114.34935381608101</c:v>
                </c:pt>
                <c:pt idx="170">
                  <c:v>114.30286006458084</c:v>
                </c:pt>
                <c:pt idx="171">
                  <c:v>114.2564282185497</c:v>
                </c:pt>
                <c:pt idx="172">
                  <c:v>114.2100582779876</c:v>
                </c:pt>
                <c:pt idx="173">
                  <c:v>114.16375024289451</c:v>
                </c:pt>
                <c:pt idx="174">
                  <c:v>114.11750411327044</c:v>
                </c:pt>
                <c:pt idx="175">
                  <c:v>114.07131988911539</c:v>
                </c:pt>
                <c:pt idx="176">
                  <c:v>114.02519757042936</c:v>
                </c:pt>
                <c:pt idx="177">
                  <c:v>113.97913715721236</c:v>
                </c:pt>
                <c:pt idx="178">
                  <c:v>113.93313864946438</c:v>
                </c:pt>
                <c:pt idx="179">
                  <c:v>113.88720204718543</c:v>
                </c:pt>
                <c:pt idx="180">
                  <c:v>113.84132735037551</c:v>
                </c:pt>
                <c:pt idx="181">
                  <c:v>113.7955145590346</c:v>
                </c:pt>
                <c:pt idx="182">
                  <c:v>113.74976367316273</c:v>
                </c:pt>
                <c:pt idx="183">
                  <c:v>113.70407469275987</c:v>
                </c:pt>
                <c:pt idx="184">
                  <c:v>113.65844761782606</c:v>
                </c:pt>
                <c:pt idx="185">
                  <c:v>113.61288244836126</c:v>
                </c:pt>
                <c:pt idx="186">
                  <c:v>113.56737918436548</c:v>
                </c:pt>
                <c:pt idx="187">
                  <c:v>113.52193782583872</c:v>
                </c:pt>
                <c:pt idx="188">
                  <c:v>113.47655837278099</c:v>
                </c:pt>
                <c:pt idx="189">
                  <c:v>113.43124082519226</c:v>
                </c:pt>
                <c:pt idx="190">
                  <c:v>113.38598518307258</c:v>
                </c:pt>
                <c:pt idx="191">
                  <c:v>113.34079144642192</c:v>
                </c:pt>
                <c:pt idx="192">
                  <c:v>113.29565961524028</c:v>
                </c:pt>
                <c:pt idx="193">
                  <c:v>113.25058968952767</c:v>
                </c:pt>
                <c:pt idx="194">
                  <c:v>113.20558166928409</c:v>
                </c:pt>
                <c:pt idx="195">
                  <c:v>113.16063555450953</c:v>
                </c:pt>
                <c:pt idx="196">
                  <c:v>113.11575134520399</c:v>
                </c:pt>
                <c:pt idx="197">
                  <c:v>113.07092904136748</c:v>
                </c:pt>
                <c:pt idx="198">
                  <c:v>113.02616864299999</c:v>
                </c:pt>
                <c:pt idx="199">
                  <c:v>112.98147015010153</c:v>
                </c:pt>
                <c:pt idx="200">
                  <c:v>112.93683356267208</c:v>
                </c:pt>
                <c:pt idx="201">
                  <c:v>112.89225888071165</c:v>
                </c:pt>
                <c:pt idx="202">
                  <c:v>112.84774610422026</c:v>
                </c:pt>
                <c:pt idx="203">
                  <c:v>112.80329523319789</c:v>
                </c:pt>
                <c:pt idx="204">
                  <c:v>112.75890626764453</c:v>
                </c:pt>
                <c:pt idx="205">
                  <c:v>112.71457920756021</c:v>
                </c:pt>
                <c:pt idx="206">
                  <c:v>112.67031845475705</c:v>
                </c:pt>
                <c:pt idx="207">
                  <c:v>112.62612841104718</c:v>
                </c:pt>
                <c:pt idx="208">
                  <c:v>112.58200907643058</c:v>
                </c:pt>
                <c:pt idx="209">
                  <c:v>112.53796045090726</c:v>
                </c:pt>
                <c:pt idx="210">
                  <c:v>112.49398253447723</c:v>
                </c:pt>
                <c:pt idx="211">
                  <c:v>112.45007532714048</c:v>
                </c:pt>
                <c:pt idx="212">
                  <c:v>112.40623882889702</c:v>
                </c:pt>
                <c:pt idx="213">
                  <c:v>112.36247303974686</c:v>
                </c:pt>
                <c:pt idx="214">
                  <c:v>112.31877795968997</c:v>
                </c:pt>
                <c:pt idx="215">
                  <c:v>112.27515358872635</c:v>
                </c:pt>
                <c:pt idx="216">
                  <c:v>112.23159992685603</c:v>
                </c:pt>
                <c:pt idx="217">
                  <c:v>112.18811697407899</c:v>
                </c:pt>
                <c:pt idx="218">
                  <c:v>112.14470473039523</c:v>
                </c:pt>
                <c:pt idx="219">
                  <c:v>112.10136319580477</c:v>
                </c:pt>
                <c:pt idx="220">
                  <c:v>112.05809237030759</c:v>
                </c:pt>
                <c:pt idx="221">
                  <c:v>112.01489225390368</c:v>
                </c:pt>
                <c:pt idx="222">
                  <c:v>111.97176284659307</c:v>
                </c:pt>
                <c:pt idx="223">
                  <c:v>111.92870414837574</c:v>
                </c:pt>
                <c:pt idx="224">
                  <c:v>111.88571615925169</c:v>
                </c:pt>
                <c:pt idx="225">
                  <c:v>111.84279887922094</c:v>
                </c:pt>
                <c:pt idx="226">
                  <c:v>111.79995230828347</c:v>
                </c:pt>
                <c:pt idx="227">
                  <c:v>111.75717644643927</c:v>
                </c:pt>
                <c:pt idx="228">
                  <c:v>111.71447129368836</c:v>
                </c:pt>
                <c:pt idx="229">
                  <c:v>111.67183685003073</c:v>
                </c:pt>
                <c:pt idx="230">
                  <c:v>111.62927311546639</c:v>
                </c:pt>
                <c:pt idx="231">
                  <c:v>111.58678008999533</c:v>
                </c:pt>
                <c:pt idx="232">
                  <c:v>111.54435777361756</c:v>
                </c:pt>
                <c:pt idx="233">
                  <c:v>111.50200616633309</c:v>
                </c:pt>
                <c:pt idx="234">
                  <c:v>111.45972526814188</c:v>
                </c:pt>
                <c:pt idx="235">
                  <c:v>111.41751507904397</c:v>
                </c:pt>
                <c:pt idx="236">
                  <c:v>111.37537559903933</c:v>
                </c:pt>
                <c:pt idx="237">
                  <c:v>111.33330682812797</c:v>
                </c:pt>
                <c:pt idx="238">
                  <c:v>111.29130876630992</c:v>
                </c:pt>
                <c:pt idx="239">
                  <c:v>111.24938141358516</c:v>
                </c:pt>
                <c:pt idx="240">
                  <c:v>111.20752476995366</c:v>
                </c:pt>
                <c:pt idx="241">
                  <c:v>111.16573883541545</c:v>
                </c:pt>
                <c:pt idx="242">
                  <c:v>111.12403862541504</c:v>
                </c:pt>
                <c:pt idx="243">
                  <c:v>111.08243915539695</c:v>
                </c:pt>
                <c:pt idx="244">
                  <c:v>111.0409404253612</c:v>
                </c:pt>
                <c:pt idx="245">
                  <c:v>110.99954243530776</c:v>
                </c:pt>
                <c:pt idx="246">
                  <c:v>110.95824518523665</c:v>
                </c:pt>
                <c:pt idx="247">
                  <c:v>110.91704867514785</c:v>
                </c:pt>
                <c:pt idx="248">
                  <c:v>110.87595290504139</c:v>
                </c:pt>
                <c:pt idx="249">
                  <c:v>110.83495787491725</c:v>
                </c:pt>
                <c:pt idx="250">
                  <c:v>110.79406358477544</c:v>
                </c:pt>
                <c:pt idx="251">
                  <c:v>110.75327003461597</c:v>
                </c:pt>
                <c:pt idx="252">
                  <c:v>110.7125772244388</c:v>
                </c:pt>
                <c:pt idx="253">
                  <c:v>110.67198515424397</c:v>
                </c:pt>
                <c:pt idx="254">
                  <c:v>110.63149382403147</c:v>
                </c:pt>
                <c:pt idx="255">
                  <c:v>110.59110323380128</c:v>
                </c:pt>
                <c:pt idx="256">
                  <c:v>110.55081338355342</c:v>
                </c:pt>
                <c:pt idx="257">
                  <c:v>110.51062427328787</c:v>
                </c:pt>
                <c:pt idx="258">
                  <c:v>110.47053590300466</c:v>
                </c:pt>
                <c:pt idx="259">
                  <c:v>110.43054827270376</c:v>
                </c:pt>
                <c:pt idx="260">
                  <c:v>110.39066138238519</c:v>
                </c:pt>
                <c:pt idx="261">
                  <c:v>110.35087523204895</c:v>
                </c:pt>
                <c:pt idx="262">
                  <c:v>110.31118982169502</c:v>
                </c:pt>
                <c:pt idx="263">
                  <c:v>110.27160515132341</c:v>
                </c:pt>
                <c:pt idx="264">
                  <c:v>110.23212122093415</c:v>
                </c:pt>
                <c:pt idx="265">
                  <c:v>110.19273803052718</c:v>
                </c:pt>
                <c:pt idx="266">
                  <c:v>110.15345558010256</c:v>
                </c:pt>
                <c:pt idx="267">
                  <c:v>110.11427386966027</c:v>
                </c:pt>
                <c:pt idx="268">
                  <c:v>110.0751928992003</c:v>
                </c:pt>
                <c:pt idx="269">
                  <c:v>110.03621266872265</c:v>
                </c:pt>
                <c:pt idx="270">
                  <c:v>109.99733317822734</c:v>
                </c:pt>
                <c:pt idx="271">
                  <c:v>109.95855442771433</c:v>
                </c:pt>
                <c:pt idx="272">
                  <c:v>109.91987641718366</c:v>
                </c:pt>
                <c:pt idx="273">
                  <c:v>109.88129914663531</c:v>
                </c:pt>
                <c:pt idx="274">
                  <c:v>109.84282261606928</c:v>
                </c:pt>
                <c:pt idx="275">
                  <c:v>109.80444682548558</c:v>
                </c:pt>
                <c:pt idx="276">
                  <c:v>109.7661717748842</c:v>
                </c:pt>
                <c:pt idx="277">
                  <c:v>109.72799746426514</c:v>
                </c:pt>
                <c:pt idx="278">
                  <c:v>109.68992389362842</c:v>
                </c:pt>
                <c:pt idx="279">
                  <c:v>109.65195106297401</c:v>
                </c:pt>
                <c:pt idx="280">
                  <c:v>109.61407897230191</c:v>
                </c:pt>
                <c:pt idx="281">
                  <c:v>109.57630762161214</c:v>
                </c:pt>
                <c:pt idx="282">
                  <c:v>109.53863701090471</c:v>
                </c:pt>
                <c:pt idx="283">
                  <c:v>109.50106714017959</c:v>
                </c:pt>
                <c:pt idx="284">
                  <c:v>109.46358063442243</c:v>
                </c:pt>
                <c:pt idx="285">
                  <c:v>109.42616011861884</c:v>
                </c:pt>
                <c:pt idx="286">
                  <c:v>109.38880559276883</c:v>
                </c:pt>
                <c:pt idx="287">
                  <c:v>109.35151705687241</c:v>
                </c:pt>
                <c:pt idx="288">
                  <c:v>109.31429451092957</c:v>
                </c:pt>
                <c:pt idx="289">
                  <c:v>109.2771379549403</c:v>
                </c:pt>
                <c:pt idx="290">
                  <c:v>109.24004738890461</c:v>
                </c:pt>
                <c:pt idx="291">
                  <c:v>109.2030228128225</c:v>
                </c:pt>
                <c:pt idx="292">
                  <c:v>109.16606422669396</c:v>
                </c:pt>
                <c:pt idx="293">
                  <c:v>109.12917163051901</c:v>
                </c:pt>
                <c:pt idx="294">
                  <c:v>109.09234502429764</c:v>
                </c:pt>
                <c:pt idx="295">
                  <c:v>109.05558440802983</c:v>
                </c:pt>
                <c:pt idx="296">
                  <c:v>109.0188897817156</c:v>
                </c:pt>
                <c:pt idx="297">
                  <c:v>108.98226114535497</c:v>
                </c:pt>
                <c:pt idx="298">
                  <c:v>108.94569849894791</c:v>
                </c:pt>
                <c:pt idx="299">
                  <c:v>108.90920184249443</c:v>
                </c:pt>
                <c:pt idx="300">
                  <c:v>108.87277117599452</c:v>
                </c:pt>
                <c:pt idx="301">
                  <c:v>108.83640649944817</c:v>
                </c:pt>
                <c:pt idx="302">
                  <c:v>108.80010781285543</c:v>
                </c:pt>
                <c:pt idx="303">
                  <c:v>108.76387511621627</c:v>
                </c:pt>
                <c:pt idx="304">
                  <c:v>108.72770840953068</c:v>
                </c:pt>
                <c:pt idx="305">
                  <c:v>108.69160769279866</c:v>
                </c:pt>
                <c:pt idx="306">
                  <c:v>108.65557296602022</c:v>
                </c:pt>
                <c:pt idx="307">
                  <c:v>108.61960422919536</c:v>
                </c:pt>
                <c:pt idx="308">
                  <c:v>108.58370148232409</c:v>
                </c:pt>
                <c:pt idx="309">
                  <c:v>108.54786472540638</c:v>
                </c:pt>
                <c:pt idx="310">
                  <c:v>108.51209395844225</c:v>
                </c:pt>
                <c:pt idx="311">
                  <c:v>108.4763891814317</c:v>
                </c:pt>
                <c:pt idx="312">
                  <c:v>108.44075039437473</c:v>
                </c:pt>
                <c:pt idx="313">
                  <c:v>108.40517759727135</c:v>
                </c:pt>
                <c:pt idx="314">
                  <c:v>108.36967079012155</c:v>
                </c:pt>
                <c:pt idx="315">
                  <c:v>108.3342299729253</c:v>
                </c:pt>
                <c:pt idx="316">
                  <c:v>108.29885514568265</c:v>
                </c:pt>
                <c:pt idx="317">
                  <c:v>108.26354630839357</c:v>
                </c:pt>
                <c:pt idx="318">
                  <c:v>108.22830346105808</c:v>
                </c:pt>
                <c:pt idx="319">
                  <c:v>108.19312660367616</c:v>
                </c:pt>
                <c:pt idx="320">
                  <c:v>108.15801573624782</c:v>
                </c:pt>
                <c:pt idx="321">
                  <c:v>108.12297085877304</c:v>
                </c:pt>
                <c:pt idx="322">
                  <c:v>108.08799197125187</c:v>
                </c:pt>
                <c:pt idx="323">
                  <c:v>108.05307907368427</c:v>
                </c:pt>
                <c:pt idx="324">
                  <c:v>108.01823216607023</c:v>
                </c:pt>
                <c:pt idx="325">
                  <c:v>107.98345124840979</c:v>
                </c:pt>
                <c:pt idx="326">
                  <c:v>107.94873526767174</c:v>
                </c:pt>
                <c:pt idx="327">
                  <c:v>107.91408317082491</c:v>
                </c:pt>
                <c:pt idx="328">
                  <c:v>107.87949495786934</c:v>
                </c:pt>
                <c:pt idx="329">
                  <c:v>107.84497062880499</c:v>
                </c:pt>
                <c:pt idx="330">
                  <c:v>107.81051018363186</c:v>
                </c:pt>
                <c:pt idx="331">
                  <c:v>107.77611362234998</c:v>
                </c:pt>
                <c:pt idx="332">
                  <c:v>107.74178094495932</c:v>
                </c:pt>
                <c:pt idx="333">
                  <c:v>107.70751215145988</c:v>
                </c:pt>
                <c:pt idx="334">
                  <c:v>107.67330724185167</c:v>
                </c:pt>
                <c:pt idx="335">
                  <c:v>107.6391662161347</c:v>
                </c:pt>
                <c:pt idx="336">
                  <c:v>107.60508907430895</c:v>
                </c:pt>
                <c:pt idx="337">
                  <c:v>107.57107581637443</c:v>
                </c:pt>
                <c:pt idx="338">
                  <c:v>107.53712644233114</c:v>
                </c:pt>
                <c:pt idx="339">
                  <c:v>107.50324095217907</c:v>
                </c:pt>
                <c:pt idx="340">
                  <c:v>107.46941934591825</c:v>
                </c:pt>
                <c:pt idx="341">
                  <c:v>107.43566162354867</c:v>
                </c:pt>
                <c:pt idx="342">
                  <c:v>107.40196778507031</c:v>
                </c:pt>
                <c:pt idx="343">
                  <c:v>107.36833783048318</c:v>
                </c:pt>
                <c:pt idx="344">
                  <c:v>107.33477175978727</c:v>
                </c:pt>
                <c:pt idx="345">
                  <c:v>107.3012695729826</c:v>
                </c:pt>
                <c:pt idx="346">
                  <c:v>107.26783127006915</c:v>
                </c:pt>
                <c:pt idx="347">
                  <c:v>107.23445685104694</c:v>
                </c:pt>
                <c:pt idx="348">
                  <c:v>107.20114631591595</c:v>
                </c:pt>
                <c:pt idx="349">
                  <c:v>107.1678996646762</c:v>
                </c:pt>
                <c:pt idx="350">
                  <c:v>107.13471689732766</c:v>
                </c:pt>
                <c:pt idx="351">
                  <c:v>107.10159801387037</c:v>
                </c:pt>
                <c:pt idx="352">
                  <c:v>107.06854301430432</c:v>
                </c:pt>
                <c:pt idx="353">
                  <c:v>107.03555189862949</c:v>
                </c:pt>
                <c:pt idx="354">
                  <c:v>107.00262466684589</c:v>
                </c:pt>
                <c:pt idx="355">
                  <c:v>106.96976131895352</c:v>
                </c:pt>
                <c:pt idx="356">
                  <c:v>106.93696185495237</c:v>
                </c:pt>
                <c:pt idx="357">
                  <c:v>106.90422627484246</c:v>
                </c:pt>
                <c:pt idx="358">
                  <c:v>106.87155457862377</c:v>
                </c:pt>
                <c:pt idx="359">
                  <c:v>106.83894676629632</c:v>
                </c:pt>
                <c:pt idx="360">
                  <c:v>106.80640283786009</c:v>
                </c:pt>
                <c:pt idx="361">
                  <c:v>106.77392279331509</c:v>
                </c:pt>
                <c:pt idx="362">
                  <c:v>106.74150663266131</c:v>
                </c:pt>
                <c:pt idx="363">
                  <c:v>106.70915435589879</c:v>
                </c:pt>
                <c:pt idx="364">
                  <c:v>106.6768659630275</c:v>
                </c:pt>
                <c:pt idx="365">
                  <c:v>106.64464145404743</c:v>
                </c:pt>
                <c:pt idx="366">
                  <c:v>106.61245445637785</c:v>
                </c:pt>
                <c:pt idx="367">
                  <c:v>106.58027859743802</c:v>
                </c:pt>
                <c:pt idx="368">
                  <c:v>106.54811387722793</c:v>
                </c:pt>
                <c:pt idx="369">
                  <c:v>106.51596029574762</c:v>
                </c:pt>
                <c:pt idx="370">
                  <c:v>106.48381785299705</c:v>
                </c:pt>
                <c:pt idx="371">
                  <c:v>106.45168654897623</c:v>
                </c:pt>
                <c:pt idx="372">
                  <c:v>106.41956638368517</c:v>
                </c:pt>
                <c:pt idx="373">
                  <c:v>106.38745735712386</c:v>
                </c:pt>
                <c:pt idx="374">
                  <c:v>106.3553594692923</c:v>
                </c:pt>
                <c:pt idx="375">
                  <c:v>106.3232727201905</c:v>
                </c:pt>
                <c:pt idx="376">
                  <c:v>106.29119710981844</c:v>
                </c:pt>
                <c:pt idx="377">
                  <c:v>106.25913263817614</c:v>
                </c:pt>
                <c:pt idx="378">
                  <c:v>106.22707930526359</c:v>
                </c:pt>
                <c:pt idx="379">
                  <c:v>106.19503711108079</c:v>
                </c:pt>
                <c:pt idx="380">
                  <c:v>106.16300605562775</c:v>
                </c:pt>
                <c:pt idx="381">
                  <c:v>106.1310144771434</c:v>
                </c:pt>
                <c:pt idx="382">
                  <c:v>106.09909071386666</c:v>
                </c:pt>
                <c:pt idx="383">
                  <c:v>106.06723476579752</c:v>
                </c:pt>
                <c:pt idx="384">
                  <c:v>106.035446632936</c:v>
                </c:pt>
                <c:pt idx="385">
                  <c:v>106.00372631528209</c:v>
                </c:pt>
                <c:pt idx="386">
                  <c:v>105.9720738128358</c:v>
                </c:pt>
                <c:pt idx="387">
                  <c:v>105.94048912559713</c:v>
                </c:pt>
                <c:pt idx="388">
                  <c:v>105.90897225356608</c:v>
                </c:pt>
                <c:pt idx="389">
                  <c:v>105.87752319674262</c:v>
                </c:pt>
                <c:pt idx="390">
                  <c:v>105.84614195512677</c:v>
                </c:pt>
                <c:pt idx="391">
                  <c:v>105.81482852871855</c:v>
                </c:pt>
                <c:pt idx="392">
                  <c:v>105.78358291751793</c:v>
                </c:pt>
                <c:pt idx="393">
                  <c:v>105.75240512152494</c:v>
                </c:pt>
                <c:pt idx="394">
                  <c:v>105.72129514073956</c:v>
                </c:pt>
                <c:pt idx="395">
                  <c:v>105.6902529751618</c:v>
                </c:pt>
                <c:pt idx="396">
                  <c:v>105.65927862479164</c:v>
                </c:pt>
                <c:pt idx="397">
                  <c:v>105.6283720896291</c:v>
                </c:pt>
                <c:pt idx="398">
                  <c:v>105.59753336967417</c:v>
                </c:pt>
                <c:pt idx="399">
                  <c:v>105.56676246492684</c:v>
                </c:pt>
                <c:pt idx="400">
                  <c:v>105.53605937538714</c:v>
                </c:pt>
                <c:pt idx="401">
                  <c:v>105.50544621470971</c:v>
                </c:pt>
                <c:pt idx="402">
                  <c:v>105.47494509654919</c:v>
                </c:pt>
                <c:pt idx="403">
                  <c:v>105.44455602090562</c:v>
                </c:pt>
                <c:pt idx="404">
                  <c:v>105.41427898777897</c:v>
                </c:pt>
                <c:pt idx="405">
                  <c:v>105.38411399716925</c:v>
                </c:pt>
                <c:pt idx="406">
                  <c:v>105.35406104907645</c:v>
                </c:pt>
                <c:pt idx="407">
                  <c:v>105.32412014350056</c:v>
                </c:pt>
                <c:pt idx="408">
                  <c:v>105.29429128044163</c:v>
                </c:pt>
                <c:pt idx="409">
                  <c:v>105.26457445989961</c:v>
                </c:pt>
                <c:pt idx="410">
                  <c:v>105.2349696818745</c:v>
                </c:pt>
                <c:pt idx="411">
                  <c:v>105.20559865336938</c:v>
                </c:pt>
                <c:pt idx="412">
                  <c:v>105.17658308138725</c:v>
                </c:pt>
                <c:pt idx="413">
                  <c:v>105.14792296592812</c:v>
                </c:pt>
                <c:pt idx="414">
                  <c:v>105.11961830699198</c:v>
                </c:pt>
                <c:pt idx="415">
                  <c:v>105.09166910457883</c:v>
                </c:pt>
                <c:pt idx="416">
                  <c:v>105.06407535868868</c:v>
                </c:pt>
                <c:pt idx="417">
                  <c:v>105.03683706932154</c:v>
                </c:pt>
                <c:pt idx="418">
                  <c:v>105.00995423647738</c:v>
                </c:pt>
                <c:pt idx="419">
                  <c:v>104.98342686015623</c:v>
                </c:pt>
                <c:pt idx="420">
                  <c:v>104.95732394315084</c:v>
                </c:pt>
                <c:pt idx="421">
                  <c:v>104.931714488254</c:v>
                </c:pt>
                <c:pt idx="422">
                  <c:v>104.9065984954657</c:v>
                </c:pt>
                <c:pt idx="423">
                  <c:v>104.88197596478592</c:v>
                </c:pt>
                <c:pt idx="424">
                  <c:v>104.85784689621471</c:v>
                </c:pt>
                <c:pt idx="425">
                  <c:v>104.83421128975202</c:v>
                </c:pt>
                <c:pt idx="426">
                  <c:v>104.81106914539787</c:v>
                </c:pt>
                <c:pt idx="427">
                  <c:v>104.78842046315226</c:v>
                </c:pt>
                <c:pt idx="428">
                  <c:v>104.7662652430152</c:v>
                </c:pt>
                <c:pt idx="429">
                  <c:v>104.74460348498668</c:v>
                </c:pt>
                <c:pt idx="430">
                  <c:v>104.72343518906669</c:v>
                </c:pt>
                <c:pt idx="431">
                  <c:v>104.70276035525525</c:v>
                </c:pt>
                <c:pt idx="432">
                  <c:v>104.68268975658169</c:v>
                </c:pt>
                <c:pt idx="433">
                  <c:v>104.66333416607536</c:v>
                </c:pt>
                <c:pt idx="434">
                  <c:v>104.64469358373624</c:v>
                </c:pt>
                <c:pt idx="435">
                  <c:v>104.62676800956437</c:v>
                </c:pt>
                <c:pt idx="436">
                  <c:v>104.60955744355972</c:v>
                </c:pt>
                <c:pt idx="437">
                  <c:v>104.59306188572231</c:v>
                </c:pt>
                <c:pt idx="438">
                  <c:v>104.57728133605211</c:v>
                </c:pt>
                <c:pt idx="439">
                  <c:v>104.56221579454915</c:v>
                </c:pt>
                <c:pt idx="440">
                  <c:v>104.54786526121342</c:v>
                </c:pt>
                <c:pt idx="441">
                  <c:v>104.53422973604491</c:v>
                </c:pt>
                <c:pt idx="442">
                  <c:v>104.5212420962838</c:v>
                </c:pt>
                <c:pt idx="443">
                  <c:v>104.50883521917022</c:v>
                </c:pt>
                <c:pt idx="444">
                  <c:v>104.49700910470419</c:v>
                </c:pt>
                <c:pt idx="445">
                  <c:v>104.48576375288572</c:v>
                </c:pt>
                <c:pt idx="446">
                  <c:v>104.47509916371479</c:v>
                </c:pt>
                <c:pt idx="447">
                  <c:v>104.46501533719139</c:v>
                </c:pt>
                <c:pt idx="448">
                  <c:v>104.45551227331553</c:v>
                </c:pt>
                <c:pt idx="449">
                  <c:v>104.44658997208725</c:v>
                </c:pt>
                <c:pt idx="450">
                  <c:v>104.43824843350649</c:v>
                </c:pt>
                <c:pt idx="451">
                  <c:v>104.43048765757328</c:v>
                </c:pt>
                <c:pt idx="452">
                  <c:v>104.42330764428762</c:v>
                </c:pt>
                <c:pt idx="453">
                  <c:v>104.41661242820625</c:v>
                </c:pt>
                <c:pt idx="454">
                  <c:v>104.41030604388592</c:v>
                </c:pt>
                <c:pt idx="455">
                  <c:v>104.40438849132664</c:v>
                </c:pt>
                <c:pt idx="456">
                  <c:v>104.39885977052842</c:v>
                </c:pt>
                <c:pt idx="457">
                  <c:v>104.39371988149124</c:v>
                </c:pt>
                <c:pt idx="458">
                  <c:v>104.3889688242151</c:v>
                </c:pt>
                <c:pt idx="459">
                  <c:v>104.3846065987</c:v>
                </c:pt>
                <c:pt idx="460">
                  <c:v>104.38063320494594</c:v>
                </c:pt>
                <c:pt idx="461">
                  <c:v>104.37696233827295</c:v>
                </c:pt>
                <c:pt idx="462">
                  <c:v>104.37350769400103</c:v>
                </c:pt>
                <c:pt idx="463">
                  <c:v>104.37026927213022</c:v>
                </c:pt>
                <c:pt idx="464">
                  <c:v>104.36724707266048</c:v>
                </c:pt>
                <c:pt idx="465">
                  <c:v>104.36444109559184</c:v>
                </c:pt>
                <c:pt idx="466">
                  <c:v>104.3619238245701</c:v>
                </c:pt>
                <c:pt idx="467">
                  <c:v>104.35976774324109</c:v>
                </c:pt>
                <c:pt idx="468">
                  <c:v>104.35877999999975</c:v>
                </c:pt>
                <c:pt idx="469">
                  <c:v>104.35877999999975</c:v>
                </c:pt>
                <c:pt idx="470">
                  <c:v>104.35877999999975</c:v>
                </c:pt>
                <c:pt idx="471">
                  <c:v>104.35877999999975</c:v>
                </c:pt>
                <c:pt idx="472">
                  <c:v>104.35877999999975</c:v>
                </c:pt>
                <c:pt idx="473">
                  <c:v>104.35877999999975</c:v>
                </c:pt>
                <c:pt idx="474">
                  <c:v>104.35877999999975</c:v>
                </c:pt>
                <c:pt idx="475">
                  <c:v>104.35877999999975</c:v>
                </c:pt>
                <c:pt idx="476">
                  <c:v>104.35877999999975</c:v>
                </c:pt>
                <c:pt idx="477">
                  <c:v>104.35877999999975</c:v>
                </c:pt>
                <c:pt idx="478">
                  <c:v>104.35877999999975</c:v>
                </c:pt>
                <c:pt idx="479">
                  <c:v>104.35877999999975</c:v>
                </c:pt>
                <c:pt idx="480">
                  <c:v>104.35877999999975</c:v>
                </c:pt>
                <c:pt idx="481">
                  <c:v>104.35877999999975</c:v>
                </c:pt>
                <c:pt idx="482">
                  <c:v>104.35877999999975</c:v>
                </c:pt>
                <c:pt idx="483">
                  <c:v>104.35877999999975</c:v>
                </c:pt>
                <c:pt idx="484">
                  <c:v>104.35877999999975</c:v>
                </c:pt>
                <c:pt idx="485">
                  <c:v>104.35877999999975</c:v>
                </c:pt>
                <c:pt idx="486">
                  <c:v>104.35877999999975</c:v>
                </c:pt>
                <c:pt idx="487">
                  <c:v>104.35877999999975</c:v>
                </c:pt>
                <c:pt idx="488">
                  <c:v>104.35877999999975</c:v>
                </c:pt>
                <c:pt idx="489">
                  <c:v>104.35877999999975</c:v>
                </c:pt>
                <c:pt idx="490">
                  <c:v>104.35877999999975</c:v>
                </c:pt>
                <c:pt idx="491">
                  <c:v>104.35877999999975</c:v>
                </c:pt>
                <c:pt idx="492">
                  <c:v>104.35877999999975</c:v>
                </c:pt>
                <c:pt idx="493">
                  <c:v>104.35877999999975</c:v>
                </c:pt>
                <c:pt idx="494">
                  <c:v>104.35877999999975</c:v>
                </c:pt>
                <c:pt idx="495">
                  <c:v>104.35877999999975</c:v>
                </c:pt>
                <c:pt idx="496">
                  <c:v>104.35877999999975</c:v>
                </c:pt>
                <c:pt idx="497">
                  <c:v>104.35877999999975</c:v>
                </c:pt>
                <c:pt idx="498">
                  <c:v>104.35877999999975</c:v>
                </c:pt>
                <c:pt idx="499">
                  <c:v>104.35877999999975</c:v>
                </c:pt>
                <c:pt idx="500">
                  <c:v>104.35877999999975</c:v>
                </c:pt>
                <c:pt idx="501">
                  <c:v>104.35877999999975</c:v>
                </c:pt>
                <c:pt idx="502">
                  <c:v>104.35877999999975</c:v>
                </c:pt>
                <c:pt idx="503">
                  <c:v>104.35877999999975</c:v>
                </c:pt>
                <c:pt idx="504">
                  <c:v>104.35877999999975</c:v>
                </c:pt>
                <c:pt idx="505">
                  <c:v>104.35877999999975</c:v>
                </c:pt>
                <c:pt idx="506">
                  <c:v>104.35877999999975</c:v>
                </c:pt>
                <c:pt idx="507">
                  <c:v>104.35877999999975</c:v>
                </c:pt>
                <c:pt idx="508">
                  <c:v>104.35877999999975</c:v>
                </c:pt>
                <c:pt idx="509">
                  <c:v>104.35877999999975</c:v>
                </c:pt>
                <c:pt idx="510">
                  <c:v>104.35877999999975</c:v>
                </c:pt>
                <c:pt idx="511">
                  <c:v>104.35877999999975</c:v>
                </c:pt>
                <c:pt idx="512">
                  <c:v>104.35877999999975</c:v>
                </c:pt>
                <c:pt idx="513">
                  <c:v>104.35877999999975</c:v>
                </c:pt>
                <c:pt idx="514">
                  <c:v>104.35877999999975</c:v>
                </c:pt>
                <c:pt idx="515">
                  <c:v>104.35877999999975</c:v>
                </c:pt>
                <c:pt idx="516">
                  <c:v>104.35877999999975</c:v>
                </c:pt>
                <c:pt idx="517">
                  <c:v>104.35877999999975</c:v>
                </c:pt>
                <c:pt idx="518">
                  <c:v>104.35877999999975</c:v>
                </c:pt>
                <c:pt idx="519">
                  <c:v>104.35877999999975</c:v>
                </c:pt>
                <c:pt idx="520">
                  <c:v>104.35877999999975</c:v>
                </c:pt>
                <c:pt idx="521">
                  <c:v>104.35877999999975</c:v>
                </c:pt>
                <c:pt idx="522">
                  <c:v>104.35877999999975</c:v>
                </c:pt>
                <c:pt idx="523">
                  <c:v>104.35877999999975</c:v>
                </c:pt>
                <c:pt idx="524">
                  <c:v>104.35877999999975</c:v>
                </c:pt>
                <c:pt idx="525">
                  <c:v>104.35877999999975</c:v>
                </c:pt>
                <c:pt idx="526">
                  <c:v>104.35877999999975</c:v>
                </c:pt>
                <c:pt idx="527">
                  <c:v>104.35877999999975</c:v>
                </c:pt>
                <c:pt idx="528">
                  <c:v>104.35877999999975</c:v>
                </c:pt>
                <c:pt idx="529">
                  <c:v>104.35877999999975</c:v>
                </c:pt>
                <c:pt idx="530">
                  <c:v>104.35877999999975</c:v>
                </c:pt>
                <c:pt idx="531">
                  <c:v>104.35877999999975</c:v>
                </c:pt>
                <c:pt idx="532">
                  <c:v>104.35877999999975</c:v>
                </c:pt>
                <c:pt idx="533">
                  <c:v>104.35877999999975</c:v>
                </c:pt>
                <c:pt idx="534">
                  <c:v>104.35877999999975</c:v>
                </c:pt>
                <c:pt idx="535">
                  <c:v>104.35877999999975</c:v>
                </c:pt>
                <c:pt idx="536">
                  <c:v>104.35877999999975</c:v>
                </c:pt>
                <c:pt idx="537">
                  <c:v>104.35877999999975</c:v>
                </c:pt>
                <c:pt idx="538">
                  <c:v>104.35877999999975</c:v>
                </c:pt>
                <c:pt idx="539">
                  <c:v>104.35877999999975</c:v>
                </c:pt>
                <c:pt idx="540">
                  <c:v>104.35877999999975</c:v>
                </c:pt>
                <c:pt idx="541">
                  <c:v>104.35877999999975</c:v>
                </c:pt>
                <c:pt idx="542">
                  <c:v>104.35877999999975</c:v>
                </c:pt>
                <c:pt idx="543">
                  <c:v>104.35877999999975</c:v>
                </c:pt>
                <c:pt idx="544">
                  <c:v>104.35877999999975</c:v>
                </c:pt>
                <c:pt idx="545">
                  <c:v>104.35877999999975</c:v>
                </c:pt>
                <c:pt idx="546">
                  <c:v>104.35877999999975</c:v>
                </c:pt>
                <c:pt idx="547">
                  <c:v>104.35877999999975</c:v>
                </c:pt>
                <c:pt idx="548">
                  <c:v>104.35877999999975</c:v>
                </c:pt>
                <c:pt idx="549">
                  <c:v>104.35877999999975</c:v>
                </c:pt>
                <c:pt idx="550">
                  <c:v>104.35877999999975</c:v>
                </c:pt>
                <c:pt idx="551">
                  <c:v>104.35877999999975</c:v>
                </c:pt>
                <c:pt idx="552">
                  <c:v>104.35877999999975</c:v>
                </c:pt>
                <c:pt idx="553">
                  <c:v>104.35877999999975</c:v>
                </c:pt>
                <c:pt idx="554">
                  <c:v>104.35877999999975</c:v>
                </c:pt>
                <c:pt idx="555">
                  <c:v>104.35877999999975</c:v>
                </c:pt>
                <c:pt idx="556">
                  <c:v>104.35877999999975</c:v>
                </c:pt>
                <c:pt idx="557">
                  <c:v>104.35877999999975</c:v>
                </c:pt>
                <c:pt idx="558">
                  <c:v>104.35877999999975</c:v>
                </c:pt>
                <c:pt idx="559">
                  <c:v>104.35877999999975</c:v>
                </c:pt>
                <c:pt idx="560">
                  <c:v>104.35877999999975</c:v>
                </c:pt>
                <c:pt idx="561">
                  <c:v>104.35877999999975</c:v>
                </c:pt>
                <c:pt idx="562">
                  <c:v>104.35877999999975</c:v>
                </c:pt>
                <c:pt idx="563">
                  <c:v>104.35877999999975</c:v>
                </c:pt>
                <c:pt idx="564">
                  <c:v>104.35877999999975</c:v>
                </c:pt>
                <c:pt idx="565">
                  <c:v>104.35877999999975</c:v>
                </c:pt>
                <c:pt idx="566">
                  <c:v>104.35877999999975</c:v>
                </c:pt>
                <c:pt idx="567">
                  <c:v>104.35877999999975</c:v>
                </c:pt>
                <c:pt idx="568">
                  <c:v>104.35877999999975</c:v>
                </c:pt>
                <c:pt idx="569">
                  <c:v>104.35877999999975</c:v>
                </c:pt>
                <c:pt idx="570">
                  <c:v>104.35877999999975</c:v>
                </c:pt>
                <c:pt idx="571">
                  <c:v>104.35877999999975</c:v>
                </c:pt>
                <c:pt idx="572">
                  <c:v>104.35877999999975</c:v>
                </c:pt>
                <c:pt idx="573">
                  <c:v>104.35877999999975</c:v>
                </c:pt>
                <c:pt idx="574">
                  <c:v>104.35877999999975</c:v>
                </c:pt>
                <c:pt idx="575">
                  <c:v>104.35877999999975</c:v>
                </c:pt>
                <c:pt idx="576">
                  <c:v>104.35877999999975</c:v>
                </c:pt>
                <c:pt idx="577">
                  <c:v>104.35877999999975</c:v>
                </c:pt>
                <c:pt idx="578">
                  <c:v>104.35877999999975</c:v>
                </c:pt>
                <c:pt idx="579">
                  <c:v>104.35877999999975</c:v>
                </c:pt>
                <c:pt idx="580">
                  <c:v>104.35877999999975</c:v>
                </c:pt>
                <c:pt idx="581">
                  <c:v>104.35877999999975</c:v>
                </c:pt>
                <c:pt idx="582">
                  <c:v>104.35877999999975</c:v>
                </c:pt>
                <c:pt idx="583">
                  <c:v>104.35877999999975</c:v>
                </c:pt>
                <c:pt idx="584">
                  <c:v>104.35877999999975</c:v>
                </c:pt>
                <c:pt idx="585">
                  <c:v>104.35877999999975</c:v>
                </c:pt>
                <c:pt idx="586">
                  <c:v>104.35877999999975</c:v>
                </c:pt>
                <c:pt idx="587">
                  <c:v>104.35877999999975</c:v>
                </c:pt>
                <c:pt idx="588">
                  <c:v>104.35877999999975</c:v>
                </c:pt>
                <c:pt idx="589">
                  <c:v>104.35877999999975</c:v>
                </c:pt>
                <c:pt idx="590">
                  <c:v>104.35877999999975</c:v>
                </c:pt>
                <c:pt idx="591">
                  <c:v>104.35877999999975</c:v>
                </c:pt>
                <c:pt idx="592">
                  <c:v>104.35877999999975</c:v>
                </c:pt>
                <c:pt idx="593">
                  <c:v>104.35877999999975</c:v>
                </c:pt>
                <c:pt idx="594">
                  <c:v>104.35877999999975</c:v>
                </c:pt>
                <c:pt idx="595">
                  <c:v>104.35877999999975</c:v>
                </c:pt>
                <c:pt idx="596">
                  <c:v>104.35877999999975</c:v>
                </c:pt>
                <c:pt idx="597">
                  <c:v>104.35877999999975</c:v>
                </c:pt>
                <c:pt idx="598">
                  <c:v>104.35877999999975</c:v>
                </c:pt>
                <c:pt idx="599">
                  <c:v>104.35877999999975</c:v>
                </c:pt>
                <c:pt idx="600">
                  <c:v>104.35877999999975</c:v>
                </c:pt>
                <c:pt idx="601">
                  <c:v>104.35877999999975</c:v>
                </c:pt>
                <c:pt idx="602">
                  <c:v>104.35877999999975</c:v>
                </c:pt>
                <c:pt idx="603">
                  <c:v>104.35877999999975</c:v>
                </c:pt>
                <c:pt idx="604">
                  <c:v>104.35877999999975</c:v>
                </c:pt>
                <c:pt idx="605">
                  <c:v>104.35877999999975</c:v>
                </c:pt>
                <c:pt idx="606">
                  <c:v>104.35877999999975</c:v>
                </c:pt>
                <c:pt idx="607">
                  <c:v>104.35877999999975</c:v>
                </c:pt>
                <c:pt idx="608">
                  <c:v>104.35877999999975</c:v>
                </c:pt>
                <c:pt idx="609">
                  <c:v>104.35877999999975</c:v>
                </c:pt>
                <c:pt idx="610">
                  <c:v>104.35877999999975</c:v>
                </c:pt>
                <c:pt idx="611">
                  <c:v>104.35877999999975</c:v>
                </c:pt>
                <c:pt idx="612">
                  <c:v>104.35877999999975</c:v>
                </c:pt>
                <c:pt idx="613">
                  <c:v>104.35877999999975</c:v>
                </c:pt>
                <c:pt idx="614">
                  <c:v>104.35877999999975</c:v>
                </c:pt>
                <c:pt idx="615">
                  <c:v>104.35877999999975</c:v>
                </c:pt>
                <c:pt idx="616">
                  <c:v>104.35877999999975</c:v>
                </c:pt>
                <c:pt idx="617">
                  <c:v>104.35877999999975</c:v>
                </c:pt>
                <c:pt idx="618">
                  <c:v>104.35877999999975</c:v>
                </c:pt>
                <c:pt idx="619">
                  <c:v>104.35877999999975</c:v>
                </c:pt>
                <c:pt idx="620">
                  <c:v>104.35877999999975</c:v>
                </c:pt>
                <c:pt idx="621">
                  <c:v>104.35877999999975</c:v>
                </c:pt>
                <c:pt idx="622">
                  <c:v>104.35877999999975</c:v>
                </c:pt>
                <c:pt idx="623">
                  <c:v>104.35877999999975</c:v>
                </c:pt>
                <c:pt idx="624">
                  <c:v>104.35877999999975</c:v>
                </c:pt>
                <c:pt idx="625">
                  <c:v>104.35877999999975</c:v>
                </c:pt>
                <c:pt idx="626">
                  <c:v>104.35877999999975</c:v>
                </c:pt>
                <c:pt idx="627">
                  <c:v>104.35877999999975</c:v>
                </c:pt>
                <c:pt idx="628">
                  <c:v>104.35877999999975</c:v>
                </c:pt>
                <c:pt idx="629">
                  <c:v>104.35877999999975</c:v>
                </c:pt>
                <c:pt idx="630">
                  <c:v>104.35877999999975</c:v>
                </c:pt>
                <c:pt idx="631">
                  <c:v>104.35877999999975</c:v>
                </c:pt>
                <c:pt idx="632">
                  <c:v>104.35877999999975</c:v>
                </c:pt>
                <c:pt idx="633">
                  <c:v>104.35877999999975</c:v>
                </c:pt>
                <c:pt idx="634">
                  <c:v>104.35877999999975</c:v>
                </c:pt>
                <c:pt idx="635">
                  <c:v>104.35877999999975</c:v>
                </c:pt>
                <c:pt idx="636">
                  <c:v>104.35877999999975</c:v>
                </c:pt>
                <c:pt idx="637">
                  <c:v>104.35877999999975</c:v>
                </c:pt>
                <c:pt idx="638">
                  <c:v>104.35877999999975</c:v>
                </c:pt>
                <c:pt idx="639">
                  <c:v>104.35877999999975</c:v>
                </c:pt>
                <c:pt idx="640">
                  <c:v>104.35877999999975</c:v>
                </c:pt>
                <c:pt idx="641">
                  <c:v>104.35877999999975</c:v>
                </c:pt>
                <c:pt idx="642">
                  <c:v>104.35877999999975</c:v>
                </c:pt>
                <c:pt idx="643">
                  <c:v>104.35877999999975</c:v>
                </c:pt>
                <c:pt idx="644">
                  <c:v>104.35877999999975</c:v>
                </c:pt>
                <c:pt idx="645">
                  <c:v>104.35877999999975</c:v>
                </c:pt>
                <c:pt idx="646">
                  <c:v>104.35877999999975</c:v>
                </c:pt>
                <c:pt idx="647">
                  <c:v>104.35877999999975</c:v>
                </c:pt>
                <c:pt idx="648">
                  <c:v>104.35877999999975</c:v>
                </c:pt>
                <c:pt idx="649">
                  <c:v>104.35877999999975</c:v>
                </c:pt>
                <c:pt idx="650">
                  <c:v>104.35877999999975</c:v>
                </c:pt>
                <c:pt idx="651">
                  <c:v>104.35877999999975</c:v>
                </c:pt>
                <c:pt idx="652">
                  <c:v>104.35877999999975</c:v>
                </c:pt>
                <c:pt idx="653">
                  <c:v>104.35877999999975</c:v>
                </c:pt>
                <c:pt idx="654">
                  <c:v>104.35877999999975</c:v>
                </c:pt>
                <c:pt idx="655">
                  <c:v>104.35877999999975</c:v>
                </c:pt>
                <c:pt idx="656">
                  <c:v>104.35877999999975</c:v>
                </c:pt>
                <c:pt idx="657">
                  <c:v>104.35877999999975</c:v>
                </c:pt>
                <c:pt idx="658">
                  <c:v>104.35877999999975</c:v>
                </c:pt>
                <c:pt idx="659">
                  <c:v>104.35877999999975</c:v>
                </c:pt>
                <c:pt idx="660">
                  <c:v>104.35877999999975</c:v>
                </c:pt>
                <c:pt idx="661">
                  <c:v>104.35877999999975</c:v>
                </c:pt>
                <c:pt idx="662">
                  <c:v>104.35877999999975</c:v>
                </c:pt>
                <c:pt idx="663">
                  <c:v>104.35877999999975</c:v>
                </c:pt>
                <c:pt idx="664">
                  <c:v>104.35877999999975</c:v>
                </c:pt>
                <c:pt idx="665">
                  <c:v>104.35877999999975</c:v>
                </c:pt>
                <c:pt idx="666">
                  <c:v>104.35877999999975</c:v>
                </c:pt>
                <c:pt idx="667">
                  <c:v>104.35877999999975</c:v>
                </c:pt>
                <c:pt idx="668">
                  <c:v>104.35877999999975</c:v>
                </c:pt>
                <c:pt idx="669">
                  <c:v>104.35877999999975</c:v>
                </c:pt>
                <c:pt idx="670">
                  <c:v>104.35877999999975</c:v>
                </c:pt>
                <c:pt idx="671">
                  <c:v>104.35877999999975</c:v>
                </c:pt>
                <c:pt idx="672">
                  <c:v>104.35877999999975</c:v>
                </c:pt>
                <c:pt idx="673">
                  <c:v>104.35877999999975</c:v>
                </c:pt>
                <c:pt idx="674">
                  <c:v>104.35877999999975</c:v>
                </c:pt>
                <c:pt idx="675">
                  <c:v>104.35877999999975</c:v>
                </c:pt>
                <c:pt idx="676">
                  <c:v>104.35877999999975</c:v>
                </c:pt>
                <c:pt idx="677">
                  <c:v>104.35877999999975</c:v>
                </c:pt>
                <c:pt idx="678">
                  <c:v>104.35877999999975</c:v>
                </c:pt>
                <c:pt idx="679">
                  <c:v>104.35877999999975</c:v>
                </c:pt>
                <c:pt idx="680">
                  <c:v>104.35877999999975</c:v>
                </c:pt>
                <c:pt idx="681">
                  <c:v>104.35877999999975</c:v>
                </c:pt>
                <c:pt idx="682">
                  <c:v>104.35877999999975</c:v>
                </c:pt>
                <c:pt idx="683">
                  <c:v>104.35877999999975</c:v>
                </c:pt>
                <c:pt idx="684">
                  <c:v>104.35877999999975</c:v>
                </c:pt>
                <c:pt idx="685">
                  <c:v>104.35877999999975</c:v>
                </c:pt>
                <c:pt idx="686">
                  <c:v>104.35877999999975</c:v>
                </c:pt>
                <c:pt idx="687">
                  <c:v>104.35877999999975</c:v>
                </c:pt>
                <c:pt idx="688">
                  <c:v>104.35877999999975</c:v>
                </c:pt>
                <c:pt idx="689">
                  <c:v>104.35877999999975</c:v>
                </c:pt>
                <c:pt idx="690">
                  <c:v>104.35877999999975</c:v>
                </c:pt>
                <c:pt idx="691">
                  <c:v>104.35877999999975</c:v>
                </c:pt>
                <c:pt idx="692">
                  <c:v>104.35877999999975</c:v>
                </c:pt>
                <c:pt idx="693">
                  <c:v>104.35877999999975</c:v>
                </c:pt>
                <c:pt idx="694">
                  <c:v>104.35877999999975</c:v>
                </c:pt>
                <c:pt idx="695">
                  <c:v>104.35877999999975</c:v>
                </c:pt>
                <c:pt idx="696">
                  <c:v>104.35877999999975</c:v>
                </c:pt>
                <c:pt idx="697">
                  <c:v>104.35877999999975</c:v>
                </c:pt>
                <c:pt idx="698">
                  <c:v>104.35877999999975</c:v>
                </c:pt>
                <c:pt idx="699">
                  <c:v>104.35877999999975</c:v>
                </c:pt>
                <c:pt idx="700">
                  <c:v>104.35877999999975</c:v>
                </c:pt>
                <c:pt idx="701">
                  <c:v>104.35877999999975</c:v>
                </c:pt>
                <c:pt idx="702">
                  <c:v>104.35877999999975</c:v>
                </c:pt>
                <c:pt idx="703">
                  <c:v>104.35877999999975</c:v>
                </c:pt>
                <c:pt idx="704">
                  <c:v>104.35877999999975</c:v>
                </c:pt>
                <c:pt idx="705">
                  <c:v>104.35877999999975</c:v>
                </c:pt>
                <c:pt idx="706">
                  <c:v>104.35877999999975</c:v>
                </c:pt>
                <c:pt idx="707">
                  <c:v>104.35877999999975</c:v>
                </c:pt>
                <c:pt idx="708">
                  <c:v>104.35877999999975</c:v>
                </c:pt>
                <c:pt idx="709">
                  <c:v>104.35877999999975</c:v>
                </c:pt>
                <c:pt idx="710">
                  <c:v>104.35877999999975</c:v>
                </c:pt>
                <c:pt idx="711">
                  <c:v>104.35877999999975</c:v>
                </c:pt>
                <c:pt idx="712">
                  <c:v>104.35877999999975</c:v>
                </c:pt>
                <c:pt idx="713">
                  <c:v>104.35877999999975</c:v>
                </c:pt>
                <c:pt idx="714">
                  <c:v>104.35877999999975</c:v>
                </c:pt>
                <c:pt idx="715">
                  <c:v>104.35877999999975</c:v>
                </c:pt>
                <c:pt idx="716">
                  <c:v>104.35877999999975</c:v>
                </c:pt>
                <c:pt idx="717">
                  <c:v>104.35877999999975</c:v>
                </c:pt>
                <c:pt idx="718">
                  <c:v>104.35877999999975</c:v>
                </c:pt>
                <c:pt idx="719">
                  <c:v>104.35877999999975</c:v>
                </c:pt>
                <c:pt idx="720">
                  <c:v>104.35877999999975</c:v>
                </c:pt>
                <c:pt idx="721">
                  <c:v>104.35877999999975</c:v>
                </c:pt>
                <c:pt idx="722">
                  <c:v>104.35877999999975</c:v>
                </c:pt>
                <c:pt idx="723">
                  <c:v>104.35877999999975</c:v>
                </c:pt>
                <c:pt idx="724">
                  <c:v>104.35877999999975</c:v>
                </c:pt>
                <c:pt idx="725">
                  <c:v>104.35877999999975</c:v>
                </c:pt>
                <c:pt idx="726">
                  <c:v>104.35877999999975</c:v>
                </c:pt>
                <c:pt idx="727">
                  <c:v>104.35877999999975</c:v>
                </c:pt>
                <c:pt idx="728">
                  <c:v>104.35877999999975</c:v>
                </c:pt>
                <c:pt idx="729">
                  <c:v>104.35877999999975</c:v>
                </c:pt>
                <c:pt idx="730">
                  <c:v>104.35877999999975</c:v>
                </c:pt>
                <c:pt idx="731">
                  <c:v>104.35877999999975</c:v>
                </c:pt>
                <c:pt idx="732">
                  <c:v>104.35877999999975</c:v>
                </c:pt>
                <c:pt idx="733">
                  <c:v>104.35877999999975</c:v>
                </c:pt>
                <c:pt idx="734">
                  <c:v>104.35877999999975</c:v>
                </c:pt>
                <c:pt idx="735">
                  <c:v>104.35877999999975</c:v>
                </c:pt>
                <c:pt idx="736">
                  <c:v>104.35877999999975</c:v>
                </c:pt>
                <c:pt idx="737">
                  <c:v>104.35877999999975</c:v>
                </c:pt>
                <c:pt idx="738">
                  <c:v>104.35877999999975</c:v>
                </c:pt>
                <c:pt idx="739">
                  <c:v>104.35877999999975</c:v>
                </c:pt>
                <c:pt idx="740">
                  <c:v>104.35877999999975</c:v>
                </c:pt>
                <c:pt idx="741">
                  <c:v>104.35877999999975</c:v>
                </c:pt>
                <c:pt idx="742">
                  <c:v>104.35877999999975</c:v>
                </c:pt>
                <c:pt idx="743">
                  <c:v>104.35877999999975</c:v>
                </c:pt>
                <c:pt idx="744">
                  <c:v>104.35877999999975</c:v>
                </c:pt>
                <c:pt idx="745">
                  <c:v>104.35877999999975</c:v>
                </c:pt>
                <c:pt idx="746">
                  <c:v>104.35877999999975</c:v>
                </c:pt>
                <c:pt idx="747">
                  <c:v>104.35877999999975</c:v>
                </c:pt>
                <c:pt idx="748">
                  <c:v>104.35877999999975</c:v>
                </c:pt>
                <c:pt idx="749">
                  <c:v>104.35877999999975</c:v>
                </c:pt>
                <c:pt idx="750">
                  <c:v>104.35877999999975</c:v>
                </c:pt>
                <c:pt idx="751">
                  <c:v>104.35877999999975</c:v>
                </c:pt>
                <c:pt idx="752">
                  <c:v>104.35877999999975</c:v>
                </c:pt>
                <c:pt idx="753">
                  <c:v>104.35877999999975</c:v>
                </c:pt>
                <c:pt idx="754">
                  <c:v>104.35877999999975</c:v>
                </c:pt>
                <c:pt idx="755">
                  <c:v>104.35877999999975</c:v>
                </c:pt>
                <c:pt idx="756">
                  <c:v>104.35877999999975</c:v>
                </c:pt>
                <c:pt idx="757">
                  <c:v>104.35877999999975</c:v>
                </c:pt>
                <c:pt idx="758">
                  <c:v>104.35877999999975</c:v>
                </c:pt>
                <c:pt idx="759">
                  <c:v>104.35877999999975</c:v>
                </c:pt>
                <c:pt idx="760">
                  <c:v>104.35877999999975</c:v>
                </c:pt>
                <c:pt idx="761">
                  <c:v>104.35877999999975</c:v>
                </c:pt>
                <c:pt idx="762">
                  <c:v>104.35877999999975</c:v>
                </c:pt>
                <c:pt idx="763">
                  <c:v>104.35877999999975</c:v>
                </c:pt>
                <c:pt idx="764">
                  <c:v>104.35877999999975</c:v>
                </c:pt>
                <c:pt idx="765">
                  <c:v>104.35877999999975</c:v>
                </c:pt>
                <c:pt idx="766">
                  <c:v>104.35877999999975</c:v>
                </c:pt>
                <c:pt idx="767">
                  <c:v>104.35877999999975</c:v>
                </c:pt>
                <c:pt idx="768">
                  <c:v>104.35877999999975</c:v>
                </c:pt>
                <c:pt idx="769">
                  <c:v>104.35877999999975</c:v>
                </c:pt>
                <c:pt idx="770">
                  <c:v>104.35877999999975</c:v>
                </c:pt>
                <c:pt idx="771">
                  <c:v>104.35877999999975</c:v>
                </c:pt>
                <c:pt idx="772">
                  <c:v>104.35877999999975</c:v>
                </c:pt>
                <c:pt idx="773">
                  <c:v>104.35877999999975</c:v>
                </c:pt>
                <c:pt idx="774">
                  <c:v>104.35877999999975</c:v>
                </c:pt>
                <c:pt idx="775">
                  <c:v>104.35877999999975</c:v>
                </c:pt>
                <c:pt idx="776">
                  <c:v>104.35877999999975</c:v>
                </c:pt>
                <c:pt idx="777">
                  <c:v>104.35877999999975</c:v>
                </c:pt>
                <c:pt idx="778">
                  <c:v>104.35877999999975</c:v>
                </c:pt>
                <c:pt idx="779">
                  <c:v>104.35877999999975</c:v>
                </c:pt>
                <c:pt idx="780">
                  <c:v>104.35877999999975</c:v>
                </c:pt>
                <c:pt idx="781">
                  <c:v>104.35877999999975</c:v>
                </c:pt>
                <c:pt idx="782">
                  <c:v>104.35877999999975</c:v>
                </c:pt>
                <c:pt idx="783">
                  <c:v>104.35877999999975</c:v>
                </c:pt>
                <c:pt idx="784">
                  <c:v>104.35877999999975</c:v>
                </c:pt>
                <c:pt idx="785">
                  <c:v>104.35877999999975</c:v>
                </c:pt>
                <c:pt idx="786">
                  <c:v>104.35877999999975</c:v>
                </c:pt>
                <c:pt idx="787">
                  <c:v>104.35877999999975</c:v>
                </c:pt>
                <c:pt idx="788">
                  <c:v>104.35877999999975</c:v>
                </c:pt>
                <c:pt idx="789">
                  <c:v>104.35877999999975</c:v>
                </c:pt>
                <c:pt idx="790">
                  <c:v>104.35877999999975</c:v>
                </c:pt>
                <c:pt idx="791">
                  <c:v>104.35877999999975</c:v>
                </c:pt>
                <c:pt idx="792">
                  <c:v>104.35877999999975</c:v>
                </c:pt>
                <c:pt idx="793">
                  <c:v>104.35877999999975</c:v>
                </c:pt>
                <c:pt idx="794">
                  <c:v>104.35877999999975</c:v>
                </c:pt>
                <c:pt idx="795">
                  <c:v>104.35877999999975</c:v>
                </c:pt>
                <c:pt idx="796">
                  <c:v>104.35877999999975</c:v>
                </c:pt>
                <c:pt idx="797">
                  <c:v>104.35877999999975</c:v>
                </c:pt>
                <c:pt idx="798">
                  <c:v>104.35877999999975</c:v>
                </c:pt>
                <c:pt idx="799">
                  <c:v>104.35877999999975</c:v>
                </c:pt>
                <c:pt idx="800">
                  <c:v>104.35877999999975</c:v>
                </c:pt>
                <c:pt idx="801">
                  <c:v>104.35877999999975</c:v>
                </c:pt>
                <c:pt idx="802">
                  <c:v>104.35877999999975</c:v>
                </c:pt>
                <c:pt idx="803">
                  <c:v>104.35877999999975</c:v>
                </c:pt>
                <c:pt idx="804">
                  <c:v>104.35877999999975</c:v>
                </c:pt>
                <c:pt idx="805">
                  <c:v>104.35877999999975</c:v>
                </c:pt>
                <c:pt idx="806">
                  <c:v>104.35877999999975</c:v>
                </c:pt>
                <c:pt idx="807">
                  <c:v>104.35877999999975</c:v>
                </c:pt>
                <c:pt idx="808">
                  <c:v>104.35877999999975</c:v>
                </c:pt>
                <c:pt idx="809">
                  <c:v>104.35877999999975</c:v>
                </c:pt>
                <c:pt idx="810">
                  <c:v>104.35877999999975</c:v>
                </c:pt>
                <c:pt idx="811">
                  <c:v>104.35877999999975</c:v>
                </c:pt>
                <c:pt idx="812">
                  <c:v>104.35877999999975</c:v>
                </c:pt>
                <c:pt idx="813">
                  <c:v>104.35877999999975</c:v>
                </c:pt>
                <c:pt idx="814">
                  <c:v>104.35877999999975</c:v>
                </c:pt>
                <c:pt idx="815">
                  <c:v>104.35877999999975</c:v>
                </c:pt>
                <c:pt idx="816">
                  <c:v>104.35877999999975</c:v>
                </c:pt>
                <c:pt idx="817">
                  <c:v>104.35877999999975</c:v>
                </c:pt>
                <c:pt idx="818">
                  <c:v>104.35877999999975</c:v>
                </c:pt>
                <c:pt idx="819">
                  <c:v>104.35877999999975</c:v>
                </c:pt>
                <c:pt idx="820">
                  <c:v>104.35877999999975</c:v>
                </c:pt>
                <c:pt idx="821">
                  <c:v>104.35877999999975</c:v>
                </c:pt>
                <c:pt idx="822">
                  <c:v>104.35877999999975</c:v>
                </c:pt>
                <c:pt idx="823">
                  <c:v>104.35877999999975</c:v>
                </c:pt>
                <c:pt idx="824">
                  <c:v>104.35877999999975</c:v>
                </c:pt>
                <c:pt idx="825">
                  <c:v>104.35877999999975</c:v>
                </c:pt>
                <c:pt idx="826">
                  <c:v>104.35877999999975</c:v>
                </c:pt>
                <c:pt idx="827">
                  <c:v>104.35877999999975</c:v>
                </c:pt>
                <c:pt idx="828">
                  <c:v>104.35877999999975</c:v>
                </c:pt>
                <c:pt idx="829">
                  <c:v>104.35877999999975</c:v>
                </c:pt>
                <c:pt idx="830">
                  <c:v>104.35877999999975</c:v>
                </c:pt>
                <c:pt idx="831">
                  <c:v>104.35877999999975</c:v>
                </c:pt>
                <c:pt idx="832">
                  <c:v>104.35877999999975</c:v>
                </c:pt>
                <c:pt idx="833">
                  <c:v>104.35877999999975</c:v>
                </c:pt>
                <c:pt idx="834">
                  <c:v>104.35877999999975</c:v>
                </c:pt>
                <c:pt idx="835">
                  <c:v>104.35877999999975</c:v>
                </c:pt>
                <c:pt idx="836">
                  <c:v>104.35877999999975</c:v>
                </c:pt>
                <c:pt idx="837">
                  <c:v>104.35877999999975</c:v>
                </c:pt>
                <c:pt idx="838">
                  <c:v>104.35877999999975</c:v>
                </c:pt>
                <c:pt idx="839">
                  <c:v>104.35877999999975</c:v>
                </c:pt>
                <c:pt idx="840">
                  <c:v>104.35877999999975</c:v>
                </c:pt>
                <c:pt idx="841">
                  <c:v>104.35877999999975</c:v>
                </c:pt>
                <c:pt idx="842">
                  <c:v>104.35877999999975</c:v>
                </c:pt>
                <c:pt idx="843">
                  <c:v>104.35877999999975</c:v>
                </c:pt>
                <c:pt idx="844">
                  <c:v>104.35877999999975</c:v>
                </c:pt>
                <c:pt idx="845">
                  <c:v>104.35877999999975</c:v>
                </c:pt>
                <c:pt idx="846">
                  <c:v>104.35877999999975</c:v>
                </c:pt>
                <c:pt idx="847">
                  <c:v>104.35877999999975</c:v>
                </c:pt>
                <c:pt idx="848">
                  <c:v>104.35877999999975</c:v>
                </c:pt>
                <c:pt idx="849">
                  <c:v>104.35877999999975</c:v>
                </c:pt>
                <c:pt idx="850">
                  <c:v>104.35877999999975</c:v>
                </c:pt>
                <c:pt idx="851">
                  <c:v>104.35877999999975</c:v>
                </c:pt>
                <c:pt idx="852">
                  <c:v>104.35877999999975</c:v>
                </c:pt>
                <c:pt idx="853">
                  <c:v>104.35877999999975</c:v>
                </c:pt>
                <c:pt idx="854">
                  <c:v>104.35877999999975</c:v>
                </c:pt>
                <c:pt idx="855">
                  <c:v>104.35877999999975</c:v>
                </c:pt>
                <c:pt idx="856">
                  <c:v>104.35877999999975</c:v>
                </c:pt>
                <c:pt idx="857">
                  <c:v>104.35877999999975</c:v>
                </c:pt>
                <c:pt idx="858">
                  <c:v>104.35877999999975</c:v>
                </c:pt>
                <c:pt idx="859">
                  <c:v>104.35877999999975</c:v>
                </c:pt>
                <c:pt idx="860">
                  <c:v>104.35877999999975</c:v>
                </c:pt>
                <c:pt idx="861">
                  <c:v>104.35877999999975</c:v>
                </c:pt>
                <c:pt idx="862">
                  <c:v>104.35877999999975</c:v>
                </c:pt>
                <c:pt idx="863">
                  <c:v>104.35877999999975</c:v>
                </c:pt>
                <c:pt idx="864">
                  <c:v>104.35877999999975</c:v>
                </c:pt>
                <c:pt idx="865">
                  <c:v>104.35877999999975</c:v>
                </c:pt>
                <c:pt idx="866">
                  <c:v>104.35877999999975</c:v>
                </c:pt>
                <c:pt idx="867">
                  <c:v>104.35877999999975</c:v>
                </c:pt>
                <c:pt idx="868">
                  <c:v>104.35877999999975</c:v>
                </c:pt>
                <c:pt idx="869">
                  <c:v>104.35877999999975</c:v>
                </c:pt>
                <c:pt idx="870">
                  <c:v>104.35877999999975</c:v>
                </c:pt>
                <c:pt idx="871">
                  <c:v>104.35877999999975</c:v>
                </c:pt>
                <c:pt idx="872">
                  <c:v>104.35877999999975</c:v>
                </c:pt>
                <c:pt idx="873">
                  <c:v>104.35877999999975</c:v>
                </c:pt>
                <c:pt idx="874">
                  <c:v>104.35877999999975</c:v>
                </c:pt>
                <c:pt idx="875">
                  <c:v>104.35877999999975</c:v>
                </c:pt>
                <c:pt idx="876">
                  <c:v>104.35877999999975</c:v>
                </c:pt>
                <c:pt idx="877">
                  <c:v>104.35877999999975</c:v>
                </c:pt>
                <c:pt idx="878">
                  <c:v>104.35877999999975</c:v>
                </c:pt>
                <c:pt idx="879">
                  <c:v>104.35877999999975</c:v>
                </c:pt>
                <c:pt idx="880">
                  <c:v>104.35877999999975</c:v>
                </c:pt>
                <c:pt idx="881">
                  <c:v>104.35877999999975</c:v>
                </c:pt>
                <c:pt idx="882">
                  <c:v>104.35877999999975</c:v>
                </c:pt>
                <c:pt idx="883">
                  <c:v>104.35877999999975</c:v>
                </c:pt>
                <c:pt idx="884">
                  <c:v>104.35877999999975</c:v>
                </c:pt>
                <c:pt idx="885">
                  <c:v>104.35877999999975</c:v>
                </c:pt>
                <c:pt idx="886">
                  <c:v>104.35877999999975</c:v>
                </c:pt>
                <c:pt idx="887">
                  <c:v>104.35877999999975</c:v>
                </c:pt>
                <c:pt idx="888">
                  <c:v>104.35877999999975</c:v>
                </c:pt>
                <c:pt idx="889">
                  <c:v>104.35877999999975</c:v>
                </c:pt>
                <c:pt idx="890">
                  <c:v>104.35877999999975</c:v>
                </c:pt>
                <c:pt idx="891">
                  <c:v>104.35877999999975</c:v>
                </c:pt>
                <c:pt idx="892">
                  <c:v>104.35877999999975</c:v>
                </c:pt>
                <c:pt idx="893">
                  <c:v>104.35877999999975</c:v>
                </c:pt>
                <c:pt idx="894">
                  <c:v>104.35877999999975</c:v>
                </c:pt>
                <c:pt idx="895">
                  <c:v>104.35877999999975</c:v>
                </c:pt>
                <c:pt idx="896">
                  <c:v>104.35877999999975</c:v>
                </c:pt>
                <c:pt idx="897">
                  <c:v>104.35877999999975</c:v>
                </c:pt>
                <c:pt idx="898">
                  <c:v>104.35877999999975</c:v>
                </c:pt>
                <c:pt idx="899">
                  <c:v>104.35877999999975</c:v>
                </c:pt>
                <c:pt idx="900">
                  <c:v>104.35877999999975</c:v>
                </c:pt>
                <c:pt idx="901">
                  <c:v>104.35877999999975</c:v>
                </c:pt>
                <c:pt idx="902">
                  <c:v>104.35877999999975</c:v>
                </c:pt>
                <c:pt idx="903">
                  <c:v>104.35877999999975</c:v>
                </c:pt>
                <c:pt idx="904">
                  <c:v>104.35877999999975</c:v>
                </c:pt>
                <c:pt idx="905">
                  <c:v>104.35877999999975</c:v>
                </c:pt>
                <c:pt idx="906">
                  <c:v>104.35877999999975</c:v>
                </c:pt>
                <c:pt idx="907">
                  <c:v>104.35877999999975</c:v>
                </c:pt>
                <c:pt idx="908">
                  <c:v>104.35877999999975</c:v>
                </c:pt>
                <c:pt idx="909">
                  <c:v>104.35877999999975</c:v>
                </c:pt>
                <c:pt idx="910">
                  <c:v>104.35877999999975</c:v>
                </c:pt>
                <c:pt idx="911">
                  <c:v>104.35877999999975</c:v>
                </c:pt>
                <c:pt idx="912">
                  <c:v>104.35877999999975</c:v>
                </c:pt>
                <c:pt idx="913">
                  <c:v>104.35877999999975</c:v>
                </c:pt>
                <c:pt idx="914">
                  <c:v>104.35877999999975</c:v>
                </c:pt>
                <c:pt idx="915">
                  <c:v>104.35877999999975</c:v>
                </c:pt>
                <c:pt idx="916">
                  <c:v>104.35877999999975</c:v>
                </c:pt>
                <c:pt idx="917">
                  <c:v>104.35877999999975</c:v>
                </c:pt>
                <c:pt idx="918">
                  <c:v>104.35877999999975</c:v>
                </c:pt>
                <c:pt idx="919">
                  <c:v>104.35877999999975</c:v>
                </c:pt>
                <c:pt idx="920">
                  <c:v>104.35877999999975</c:v>
                </c:pt>
                <c:pt idx="921">
                  <c:v>104.35877999999975</c:v>
                </c:pt>
                <c:pt idx="922">
                  <c:v>104.35877999999975</c:v>
                </c:pt>
                <c:pt idx="923">
                  <c:v>104.35877999999975</c:v>
                </c:pt>
                <c:pt idx="924">
                  <c:v>104.35877999999975</c:v>
                </c:pt>
                <c:pt idx="925">
                  <c:v>104.35877999999975</c:v>
                </c:pt>
                <c:pt idx="926">
                  <c:v>104.35877999999975</c:v>
                </c:pt>
                <c:pt idx="927">
                  <c:v>104.35877999999975</c:v>
                </c:pt>
                <c:pt idx="928">
                  <c:v>104.35877999999975</c:v>
                </c:pt>
                <c:pt idx="929">
                  <c:v>104.35877999999975</c:v>
                </c:pt>
                <c:pt idx="930">
                  <c:v>104.35877999999975</c:v>
                </c:pt>
                <c:pt idx="931">
                  <c:v>104.35877999999975</c:v>
                </c:pt>
                <c:pt idx="932">
                  <c:v>104.35877999999975</c:v>
                </c:pt>
                <c:pt idx="933">
                  <c:v>104.35877999999975</c:v>
                </c:pt>
                <c:pt idx="934">
                  <c:v>104.35877999999975</c:v>
                </c:pt>
                <c:pt idx="935">
                  <c:v>104.35877999999975</c:v>
                </c:pt>
                <c:pt idx="936">
                  <c:v>104.35877999999975</c:v>
                </c:pt>
                <c:pt idx="937">
                  <c:v>104.35877999999975</c:v>
                </c:pt>
                <c:pt idx="938">
                  <c:v>104.35877999999975</c:v>
                </c:pt>
                <c:pt idx="939">
                  <c:v>104.35877999999975</c:v>
                </c:pt>
                <c:pt idx="940">
                  <c:v>104.35877999999975</c:v>
                </c:pt>
                <c:pt idx="941">
                  <c:v>104.35877999999975</c:v>
                </c:pt>
                <c:pt idx="942">
                  <c:v>104.35877999999975</c:v>
                </c:pt>
                <c:pt idx="943">
                  <c:v>104.35877999999975</c:v>
                </c:pt>
                <c:pt idx="944">
                  <c:v>104.35877999999975</c:v>
                </c:pt>
                <c:pt idx="945">
                  <c:v>104.35877999999975</c:v>
                </c:pt>
                <c:pt idx="946">
                  <c:v>104.35877999999975</c:v>
                </c:pt>
                <c:pt idx="947">
                  <c:v>104.35877999999975</c:v>
                </c:pt>
                <c:pt idx="948">
                  <c:v>104.35877999999975</c:v>
                </c:pt>
                <c:pt idx="949">
                  <c:v>104.35877999999975</c:v>
                </c:pt>
                <c:pt idx="950">
                  <c:v>104.35877999999975</c:v>
                </c:pt>
                <c:pt idx="951">
                  <c:v>104.35877999999975</c:v>
                </c:pt>
                <c:pt idx="952">
                  <c:v>104.35877999999975</c:v>
                </c:pt>
                <c:pt idx="953">
                  <c:v>104.35877999999975</c:v>
                </c:pt>
                <c:pt idx="954">
                  <c:v>104.35877999999975</c:v>
                </c:pt>
                <c:pt idx="955">
                  <c:v>104.35877999999975</c:v>
                </c:pt>
                <c:pt idx="956">
                  <c:v>104.35877999999975</c:v>
                </c:pt>
                <c:pt idx="957">
                  <c:v>104.35877999999975</c:v>
                </c:pt>
                <c:pt idx="958">
                  <c:v>104.35877999999975</c:v>
                </c:pt>
                <c:pt idx="959">
                  <c:v>104.35877999999975</c:v>
                </c:pt>
                <c:pt idx="960">
                  <c:v>104.35877999999975</c:v>
                </c:pt>
                <c:pt idx="961">
                  <c:v>104.35877999999975</c:v>
                </c:pt>
                <c:pt idx="962">
                  <c:v>104.35877999999975</c:v>
                </c:pt>
                <c:pt idx="963">
                  <c:v>104.35877999999975</c:v>
                </c:pt>
                <c:pt idx="964">
                  <c:v>104.35877999999975</c:v>
                </c:pt>
                <c:pt idx="965">
                  <c:v>104.35877999999975</c:v>
                </c:pt>
                <c:pt idx="966">
                  <c:v>104.35877999999975</c:v>
                </c:pt>
                <c:pt idx="967">
                  <c:v>104.35877999999975</c:v>
                </c:pt>
                <c:pt idx="968">
                  <c:v>104.35877999999975</c:v>
                </c:pt>
                <c:pt idx="969">
                  <c:v>104.35877999999975</c:v>
                </c:pt>
                <c:pt idx="970">
                  <c:v>104.35877999999975</c:v>
                </c:pt>
                <c:pt idx="971">
                  <c:v>104.35877999999975</c:v>
                </c:pt>
                <c:pt idx="972">
                  <c:v>104.35877999999975</c:v>
                </c:pt>
                <c:pt idx="973">
                  <c:v>104.35877999999975</c:v>
                </c:pt>
                <c:pt idx="974">
                  <c:v>104.35877999999975</c:v>
                </c:pt>
                <c:pt idx="975">
                  <c:v>104.35877999999975</c:v>
                </c:pt>
                <c:pt idx="976">
                  <c:v>104.35877999999975</c:v>
                </c:pt>
                <c:pt idx="977">
                  <c:v>104.35877999999975</c:v>
                </c:pt>
                <c:pt idx="978">
                  <c:v>104.35877999999975</c:v>
                </c:pt>
                <c:pt idx="979">
                  <c:v>104.35877999999975</c:v>
                </c:pt>
                <c:pt idx="980">
                  <c:v>104.35877999999975</c:v>
                </c:pt>
                <c:pt idx="981">
                  <c:v>104.35877999999975</c:v>
                </c:pt>
                <c:pt idx="982">
                  <c:v>104.35877999999975</c:v>
                </c:pt>
                <c:pt idx="983">
                  <c:v>104.35877999999975</c:v>
                </c:pt>
                <c:pt idx="984">
                  <c:v>104.35877999999975</c:v>
                </c:pt>
                <c:pt idx="985">
                  <c:v>104.35877999999975</c:v>
                </c:pt>
                <c:pt idx="986">
                  <c:v>104.35877999999975</c:v>
                </c:pt>
                <c:pt idx="987">
                  <c:v>104.35877999999975</c:v>
                </c:pt>
                <c:pt idx="988">
                  <c:v>104.35877999999975</c:v>
                </c:pt>
                <c:pt idx="989">
                  <c:v>104.35877999999975</c:v>
                </c:pt>
                <c:pt idx="990">
                  <c:v>104.35877999999975</c:v>
                </c:pt>
                <c:pt idx="991">
                  <c:v>104.35877999999975</c:v>
                </c:pt>
                <c:pt idx="992">
                  <c:v>104.35877999999975</c:v>
                </c:pt>
                <c:pt idx="993">
                  <c:v>104.35877999999975</c:v>
                </c:pt>
                <c:pt idx="994">
                  <c:v>104.35877999999975</c:v>
                </c:pt>
                <c:pt idx="995">
                  <c:v>104.35877999999975</c:v>
                </c:pt>
                <c:pt idx="996">
                  <c:v>104.35877999999975</c:v>
                </c:pt>
                <c:pt idx="997">
                  <c:v>104.35877999999975</c:v>
                </c:pt>
                <c:pt idx="998">
                  <c:v>104.35877999999975</c:v>
                </c:pt>
                <c:pt idx="999">
                  <c:v>104.35877999999975</c:v>
                </c:pt>
                <c:pt idx="1000">
                  <c:v>104.35877999999975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3-7045-93AD-06357D4BED02}"/>
            </c:ext>
          </c:extLst>
        </c:ser>
        <c:ser>
          <c:idx val="0"/>
          <c:order val="2"/>
          <c:tx>
            <c:strRef>
              <c:f>Courbes!$B$133</c:f>
              <c:strCache>
                <c:ptCount val="1"/>
                <c:pt idx="0">
                  <c:v>Traînée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Calculs!$W$4:$W$1004</c:f>
              <c:numCache>
                <c:formatCode>0.00</c:formatCode>
                <c:ptCount val="1001"/>
                <c:pt idx="0">
                  <c:v>0</c:v>
                </c:pt>
                <c:pt idx="1">
                  <c:v>2.780213944554411E-5</c:v>
                </c:pt>
                <c:pt idx="2">
                  <c:v>5.7868869829448349E-4</c:v>
                </c:pt>
                <c:pt idx="3">
                  <c:v>2.3470898858686338E-3</c:v>
                </c:pt>
                <c:pt idx="4">
                  <c:v>6.154258680002263E-3</c:v>
                </c:pt>
                <c:pt idx="5">
                  <c:v>1.3011354136151397E-2</c:v>
                </c:pt>
                <c:pt idx="6">
                  <c:v>2.4120119304177519E-2</c:v>
                </c:pt>
                <c:pt idx="7">
                  <c:v>4.0873655730218318E-2</c:v>
                </c:pt>
                <c:pt idx="8">
                  <c:v>6.4857292207164671E-2</c:v>
                </c:pt>
                <c:pt idx="9">
                  <c:v>9.7849545500091603E-2</c:v>
                </c:pt>
                <c:pt idx="10">
                  <c:v>0.14182317082995047</c:v>
                </c:pt>
                <c:pt idx="11">
                  <c:v>0.19607840548481331</c:v>
                </c:pt>
                <c:pt idx="12">
                  <c:v>0.25829136924663881</c:v>
                </c:pt>
                <c:pt idx="13">
                  <c:v>0.32811910839887543</c:v>
                </c:pt>
                <c:pt idx="14">
                  <c:v>0.40520902730948566</c:v>
                </c:pt>
                <c:pt idx="15">
                  <c:v>0.48923372501452334</c:v>
                </c:pt>
                <c:pt idx="16">
                  <c:v>0.57986931106226858</c:v>
                </c:pt>
                <c:pt idx="17">
                  <c:v>0.67679545731834556</c:v>
                </c:pt>
                <c:pt idx="18">
                  <c:v>0.7796954488155875</c:v>
                </c:pt>
                <c:pt idx="19">
                  <c:v>0.8882562336439348</c:v>
                </c:pt>
                <c:pt idx="20">
                  <c:v>1.0021684718760941</c:v>
                </c:pt>
                <c:pt idx="21">
                  <c:v>1.1211265835251463</c:v>
                </c:pt>
                <c:pt idx="22">
                  <c:v>1.2448287955307149</c:v>
                </c:pt>
                <c:pt idx="23">
                  <c:v>1.372977187770769</c:v>
                </c:pt>
                <c:pt idx="24">
                  <c:v>1.5052777380965532</c:v>
                </c:pt>
                <c:pt idx="25">
                  <c:v>1.6414403663885848</c:v>
                </c:pt>
                <c:pt idx="26">
                  <c:v>1.7811789776320912</c:v>
                </c:pt>
                <c:pt idx="27">
                  <c:v>1.9254138509908045</c:v>
                </c:pt>
                <c:pt idx="28">
                  <c:v>2.0752525473031467</c:v>
                </c:pt>
                <c:pt idx="29">
                  <c:v>2.2306926901237478</c:v>
                </c:pt>
                <c:pt idx="30">
                  <c:v>2.3917317361482531</c:v>
                </c:pt>
                <c:pt idx="31">
                  <c:v>2.5583669751493003</c:v>
                </c:pt>
                <c:pt idx="32">
                  <c:v>2.7305955299229523</c:v>
                </c:pt>
                <c:pt idx="33">
                  <c:v>2.9084143562455842</c:v>
                </c:pt>
                <c:pt idx="34">
                  <c:v>3.0918202428412629</c:v>
                </c:pt>
                <c:pt idx="35">
                  <c:v>3.2808098113596276</c:v>
                </c:pt>
                <c:pt idx="36">
                  <c:v>3.475379878924691</c:v>
                </c:pt>
                <c:pt idx="37">
                  <c:v>3.6755271525317283</c:v>
                </c:pt>
                <c:pt idx="38">
                  <c:v>3.8812478000683819</c:v>
                </c:pt>
                <c:pt idx="39">
                  <c:v>4.0925378214176309</c:v>
                </c:pt>
                <c:pt idx="40">
                  <c:v>4.3093930485272347</c:v>
                </c:pt>
                <c:pt idx="41">
                  <c:v>4.5318091454897855</c:v>
                </c:pt>
                <c:pt idx="42">
                  <c:v>4.759781608630635</c:v>
                </c:pt>
                <c:pt idx="43">
                  <c:v>4.9933057666039229</c:v>
                </c:pt>
                <c:pt idx="44">
                  <c:v>5.2323767804969652</c:v>
                </c:pt>
                <c:pt idx="45">
                  <c:v>5.4769896439432095</c:v>
                </c:pt>
                <c:pt idx="46">
                  <c:v>5.7271391832439074</c:v>
                </c:pt>
                <c:pt idx="47">
                  <c:v>5.9828200574987056</c:v>
                </c:pt>
                <c:pt idx="48">
                  <c:v>6.2440267587452833</c:v>
                </c:pt>
                <c:pt idx="49">
                  <c:v>6.5107536121081484</c:v>
                </c:pt>
                <c:pt idx="50">
                  <c:v>6.7829947759567499</c:v>
                </c:pt>
                <c:pt idx="51">
                  <c:v>7.0607442420729516</c:v>
                </c:pt>
                <c:pt idx="52">
                  <c:v>7.3439958358280535</c:v>
                </c:pt>
                <c:pt idx="53">
                  <c:v>7.6327432163693132</c:v>
                </c:pt>
                <c:pt idx="54">
                  <c:v>7.926979876816147</c:v>
                </c:pt>
                <c:pt idx="55">
                  <c:v>8.2266991444660569</c:v>
                </c:pt>
                <c:pt idx="56">
                  <c:v>8.5318941810102817</c:v>
                </c:pt>
                <c:pt idx="57">
                  <c:v>8.8425579827592991</c:v>
                </c:pt>
                <c:pt idx="58">
                  <c:v>9.1586833808781822</c:v>
                </c:pt>
                <c:pt idx="59">
                  <c:v>9.4802630416318792</c:v>
                </c:pt>
                <c:pt idx="60">
                  <c:v>9.8072894666403556</c:v>
                </c:pt>
                <c:pt idx="61">
                  <c:v>10.139754993143828</c:v>
                </c:pt>
                <c:pt idx="62">
                  <c:v>10.477651794277879</c:v>
                </c:pt>
                <c:pt idx="63">
                  <c:v>10.820971879358627</c:v>
                </c:pt>
                <c:pt idx="64">
                  <c:v>11.169707094177959</c:v>
                </c:pt>
                <c:pt idx="65">
                  <c:v>11.523849121308752</c:v>
                </c:pt>
                <c:pt idx="66">
                  <c:v>11.883389480420151</c:v>
                </c:pt>
                <c:pt idx="67">
                  <c:v>12.248319528602996</c:v>
                </c:pt>
                <c:pt idx="68">
                  <c:v>12.618630460705154</c:v>
                </c:pt>
                <c:pt idx="69">
                  <c:v>12.994313309677093</c:v>
                </c:pt>
                <c:pt idx="70">
                  <c:v>13.37535894692739</c:v>
                </c:pt>
                <c:pt idx="71">
                  <c:v>13.761758082688331</c:v>
                </c:pt>
                <c:pt idx="72">
                  <c:v>14.153464045326105</c:v>
                </c:pt>
                <c:pt idx="73">
                  <c:v>14.550427887039271</c:v>
                </c:pt>
                <c:pt idx="74">
                  <c:v>14.952636673212206</c:v>
                </c:pt>
                <c:pt idx="75">
                  <c:v>15.360077311701499</c:v>
                </c:pt>
                <c:pt idx="76">
                  <c:v>15.772736553453074</c:v>
                </c:pt>
                <c:pt idx="77">
                  <c:v>16.190600993129259</c:v>
                </c:pt>
                <c:pt idx="78">
                  <c:v>16.613657069745503</c:v>
                </c:pt>
                <c:pt idx="79">
                  <c:v>17.041891067317074</c:v>
                </c:pt>
                <c:pt idx="80">
                  <c:v>17.475289115515348</c:v>
                </c:pt>
                <c:pt idx="81">
                  <c:v>17.913837190333791</c:v>
                </c:pt>
                <c:pt idx="82">
                  <c:v>18.357521114763664</c:v>
                </c:pt>
                <c:pt idx="83">
                  <c:v>18.806326559479221</c:v>
                </c:pt>
                <c:pt idx="84">
                  <c:v>19.260239043532501</c:v>
                </c:pt>
                <c:pt idx="85">
                  <c:v>19.719243935057531</c:v>
                </c:pt>
                <c:pt idx="86">
                  <c:v>20.183326451984076</c:v>
                </c:pt>
                <c:pt idx="87">
                  <c:v>20.65247166276059</c:v>
                </c:pt>
                <c:pt idx="88">
                  <c:v>21.126664487086604</c:v>
                </c:pt>
                <c:pt idx="89">
                  <c:v>21.605889696654351</c:v>
                </c:pt>
                <c:pt idx="90">
                  <c:v>22.090131915899512</c:v>
                </c:pt>
                <c:pt idx="91">
                  <c:v>22.579375622761138</c:v>
                </c:pt>
                <c:pt idx="92">
                  <c:v>23.073605149450678</c:v>
                </c:pt>
                <c:pt idx="93">
                  <c:v>23.572804683229858</c:v>
                </c:pt>
                <c:pt idx="94">
                  <c:v>24.076958267197721</c:v>
                </c:pt>
                <c:pt idx="95">
                  <c:v>24.586049801086283</c:v>
                </c:pt>
                <c:pt idx="96">
                  <c:v>25.100063042065205</c:v>
                </c:pt>
                <c:pt idx="97">
                  <c:v>25.61898160555501</c:v>
                </c:pt>
                <c:pt idx="98">
                  <c:v>26.142788966049114</c:v>
                </c:pt>
                <c:pt idx="99">
                  <c:v>26.671468457944329</c:v>
                </c:pt>
                <c:pt idx="100">
                  <c:v>27.205003276379902</c:v>
                </c:pt>
                <c:pt idx="101">
                  <c:v>27.743376478085089</c:v>
                </c:pt>
                <c:pt idx="102">
                  <c:v>28.286570982234913</c:v>
                </c:pt>
                <c:pt idx="103">
                  <c:v>28.834569571314319</c:v>
                </c:pt>
                <c:pt idx="104">
                  <c:v>29.387354891990579</c:v>
                </c:pt>
                <c:pt idx="105">
                  <c:v>29.944909455993731</c:v>
                </c:pt>
                <c:pt idx="106">
                  <c:v>30.507215641005136</c:v>
                </c:pt>
                <c:pt idx="107">
                  <c:v>31.074255691553887</c:v>
                </c:pt>
                <c:pt idx="108">
                  <c:v>31.646011719921361</c:v>
                </c:pt>
                <c:pt idx="109">
                  <c:v>32.222465707053253</c:v>
                </c:pt>
                <c:pt idx="110">
                  <c:v>32.803599503479575</c:v>
                </c:pt>
                <c:pt idx="111">
                  <c:v>33.389394830242232</c:v>
                </c:pt>
                <c:pt idx="112">
                  <c:v>33.979833279830089</c:v>
                </c:pt>
                <c:pt idx="113">
                  <c:v>34.574896317121642</c:v>
                </c:pt>
                <c:pt idx="114">
                  <c:v>35.174565280334804</c:v>
                </c:pt>
                <c:pt idx="115">
                  <c:v>35.778821381984415</c:v>
                </c:pt>
                <c:pt idx="116">
                  <c:v>36.38764570984651</c:v>
                </c:pt>
                <c:pt idx="117">
                  <c:v>37.001019227930023</c:v>
                </c:pt>
                <c:pt idx="118">
                  <c:v>37.618922777455367</c:v>
                </c:pt>
                <c:pt idx="119">
                  <c:v>38.241337077839979</c:v>
                </c:pt>
                <c:pt idx="120">
                  <c:v>38.868242727690792</c:v>
                </c:pt>
                <c:pt idx="121">
                  <c:v>39.499620205803247</c:v>
                </c:pt>
                <c:pt idx="122">
                  <c:v>40.135449872167321</c:v>
                </c:pt>
                <c:pt idx="123">
                  <c:v>40.775711968979742</c:v>
                </c:pt>
                <c:pt idx="124">
                  <c:v>41.420386621662942</c:v>
                </c:pt>
                <c:pt idx="125">
                  <c:v>42.069453839890294</c:v>
                </c:pt>
                <c:pt idx="126">
                  <c:v>42.722893518617667</c:v>
                </c:pt>
                <c:pt idx="127">
                  <c:v>43.380685439121052</c:v>
                </c:pt>
                <c:pt idx="128">
                  <c:v>44.042809270040465</c:v>
                </c:pt>
                <c:pt idx="129">
                  <c:v>44.708940222473721</c:v>
                </c:pt>
                <c:pt idx="130">
                  <c:v>45.378744113182456</c:v>
                </c:pt>
                <c:pt idx="131">
                  <c:v>46.05218652238964</c:v>
                </c:pt>
                <c:pt idx="132">
                  <c:v>46.729232974251019</c:v>
                </c:pt>
                <c:pt idx="133">
                  <c:v>47.40984893878327</c:v>
                </c:pt>
                <c:pt idx="134">
                  <c:v>48.093999833791209</c:v>
                </c:pt>
                <c:pt idx="135">
                  <c:v>48.781651026793909</c:v>
                </c:pt>
                <c:pt idx="136">
                  <c:v>49.472767836948897</c:v>
                </c:pt>
                <c:pt idx="137">
                  <c:v>50.167315536975103</c:v>
                </c:pt>
                <c:pt idx="138">
                  <c:v>50.865259355073654</c:v>
                </c:pt>
                <c:pt idx="139">
                  <c:v>51.56656447684675</c:v>
                </c:pt>
                <c:pt idx="140">
                  <c:v>52.271196047214474</c:v>
                </c:pt>
                <c:pt idx="141">
                  <c:v>52.979119172328801</c:v>
                </c:pt>
                <c:pt idx="142">
                  <c:v>53.690298921485471</c:v>
                </c:pt>
                <c:pt idx="143">
                  <c:v>54.404700329032849</c:v>
                </c:pt>
                <c:pt idx="144">
                  <c:v>55.122288396278002</c:v>
                </c:pt>
                <c:pt idx="145">
                  <c:v>55.843028093389457</c:v>
                </c:pt>
                <c:pt idx="146">
                  <c:v>56.566884361296893</c:v>
                </c:pt>
                <c:pt idx="147">
                  <c:v>57.293822113587339</c:v>
                </c:pt>
                <c:pt idx="148">
                  <c:v>58.023806238397583</c:v>
                </c:pt>
                <c:pt idx="149">
                  <c:v>58.756801600303028</c:v>
                </c:pt>
                <c:pt idx="150">
                  <c:v>59.492773042202352</c:v>
                </c:pt>
                <c:pt idx="151">
                  <c:v>60.231685387198155</c:v>
                </c:pt>
                <c:pt idx="152">
                  <c:v>60.97350344047328</c:v>
                </c:pt>
                <c:pt idx="153">
                  <c:v>61.718191991162556</c:v>
                </c:pt>
                <c:pt idx="154">
                  <c:v>62.465715814220133</c:v>
                </c:pt>
                <c:pt idx="155">
                  <c:v>63.216039672281667</c:v>
                </c:pt>
                <c:pt idx="156">
                  <c:v>63.969128317521836</c:v>
                </c:pt>
                <c:pt idx="157">
                  <c:v>64.724946493506678</c:v>
                </c:pt>
                <c:pt idx="158">
                  <c:v>65.483458937040268</c:v>
                </c:pt>
                <c:pt idx="159">
                  <c:v>66.244630380006555</c:v>
                </c:pt>
                <c:pt idx="160">
                  <c:v>67.00842555120515</c:v>
                </c:pt>
                <c:pt idx="161">
                  <c:v>67.774809178181357</c:v>
                </c:pt>
                <c:pt idx="162">
                  <c:v>68.543745989050478</c:v>
                </c:pt>
                <c:pt idx="163">
                  <c:v>69.315200714315878</c:v>
                </c:pt>
                <c:pt idx="164">
                  <c:v>70.089138088680841</c:v>
                </c:pt>
                <c:pt idx="165">
                  <c:v>70.865522852854255</c:v>
                </c:pt>
                <c:pt idx="166">
                  <c:v>71.644319755349272</c:v>
                </c:pt>
                <c:pt idx="167">
                  <c:v>72.425493554275732</c:v>
                </c:pt>
                <c:pt idx="168">
                  <c:v>73.209009019125631</c:v>
                </c:pt>
                <c:pt idx="169">
                  <c:v>73.994830932551665</c:v>
                </c:pt>
                <c:pt idx="170">
                  <c:v>74.782924092138231</c:v>
                </c:pt>
                <c:pt idx="171">
                  <c:v>75.573253312165889</c:v>
                </c:pt>
                <c:pt idx="172">
                  <c:v>76.365783425367709</c:v>
                </c:pt>
                <c:pt idx="173">
                  <c:v>77.16047928467863</c:v>
                </c:pt>
                <c:pt idx="174">
                  <c:v>77.95730576497678</c:v>
                </c:pt>
                <c:pt idx="175">
                  <c:v>78.756227764816941</c:v>
                </c:pt>
                <c:pt idx="176">
                  <c:v>79.557210208156647</c:v>
                </c:pt>
                <c:pt idx="177">
                  <c:v>80.360218046073214</c:v>
                </c:pt>
                <c:pt idx="178">
                  <c:v>81.165216258473365</c:v>
                </c:pt>
                <c:pt idx="179">
                  <c:v>81.972169855794291</c:v>
                </c:pt>
                <c:pt idx="180">
                  <c:v>82.781043880695876</c:v>
                </c:pt>
                <c:pt idx="181">
                  <c:v>83.591803409744841</c:v>
                </c:pt>
                <c:pt idx="182">
                  <c:v>84.404413555090017</c:v>
                </c:pt>
                <c:pt idx="183">
                  <c:v>85.218839466128159</c:v>
                </c:pt>
                <c:pt idx="184">
                  <c:v>86.035046331161908</c:v>
                </c:pt>
                <c:pt idx="185">
                  <c:v>86.852999379047461</c:v>
                </c:pt>
                <c:pt idx="186">
                  <c:v>87.672663880834108</c:v>
                </c:pt>
                <c:pt idx="187">
                  <c:v>88.494005151393623</c:v>
                </c:pt>
                <c:pt idx="188">
                  <c:v>89.316988551040453</c:v>
                </c:pt>
                <c:pt idx="189">
                  <c:v>90.141579487142693</c:v>
                </c:pt>
                <c:pt idx="190">
                  <c:v>90.967743415722822</c:v>
                </c:pt>
                <c:pt idx="191">
                  <c:v>91.795445843048896</c:v>
                </c:pt>
                <c:pt idx="192">
                  <c:v>92.62465232721631</c:v>
                </c:pt>
                <c:pt idx="193">
                  <c:v>93.455328479718617</c:v>
                </c:pt>
                <c:pt idx="194">
                  <c:v>94.287439967009249</c:v>
                </c:pt>
                <c:pt idx="195">
                  <c:v>95.120952512052085</c:v>
                </c:pt>
                <c:pt idx="196">
                  <c:v>95.955831895862516</c:v>
                </c:pt>
                <c:pt idx="197">
                  <c:v>96.792043959037713</c:v>
                </c:pt>
                <c:pt idx="198">
                  <c:v>97.629554603276418</c:v>
                </c:pt>
                <c:pt idx="199">
                  <c:v>98.468329792888284</c:v>
                </c:pt>
                <c:pt idx="200">
                  <c:v>99.308335556292164</c:v>
                </c:pt>
                <c:pt idx="201">
                  <c:v>100.1495379875042</c:v>
                </c:pt>
                <c:pt idx="202">
                  <c:v>100.99190324761457</c:v>
                </c:pt>
                <c:pt idx="203">
                  <c:v>101.83539756625333</c:v>
                </c:pt>
                <c:pt idx="204">
                  <c:v>102.67998724304566</c:v>
                </c:pt>
                <c:pt idx="205">
                  <c:v>103.52563864905507</c:v>
                </c:pt>
                <c:pt idx="206">
                  <c:v>104.37220534925504</c:v>
                </c:pt>
                <c:pt idx="207">
                  <c:v>105.21953916462742</c:v>
                </c:pt>
                <c:pt idx="208">
                  <c:v>106.06760405615104</c:v>
                </c:pt>
                <c:pt idx="209">
                  <c:v>106.91636408514056</c:v>
                </c:pt>
                <c:pt idx="210">
                  <c:v>107.76578341473088</c:v>
                </c:pt>
                <c:pt idx="211">
                  <c:v>108.61582631134758</c:v>
                </c:pt>
                <c:pt idx="212">
                  <c:v>109.46645714616305</c:v>
                </c:pt>
                <c:pt idx="213">
                  <c:v>110.31764039653807</c:v>
                </c:pt>
                <c:pt idx="214">
                  <c:v>111.16934064744898</c:v>
                </c:pt>
                <c:pt idx="215">
                  <c:v>112.02152259290004</c:v>
                </c:pt>
                <c:pt idx="216">
                  <c:v>112.87415103732171</c:v>
                </c:pt>
                <c:pt idx="217">
                  <c:v>113.7271908969538</c:v>
                </c:pt>
                <c:pt idx="218">
                  <c:v>114.58060720121382</c:v>
                </c:pt>
                <c:pt idx="219">
                  <c:v>115.43436509405112</c:v>
                </c:pt>
                <c:pt idx="220">
                  <c:v>116.28842983528551</c:v>
                </c:pt>
                <c:pt idx="221">
                  <c:v>117.14276680193147</c:v>
                </c:pt>
                <c:pt idx="222">
                  <c:v>117.99734148950739</c:v>
                </c:pt>
                <c:pt idx="223">
                  <c:v>118.85211951332951</c:v>
                </c:pt>
                <c:pt idx="224">
                  <c:v>119.7070666097913</c:v>
                </c:pt>
                <c:pt idx="225">
                  <c:v>120.56214863762737</c:v>
                </c:pt>
                <c:pt idx="226">
                  <c:v>121.41733157916271</c:v>
                </c:pt>
                <c:pt idx="227">
                  <c:v>122.2725815415464</c:v>
                </c:pt>
                <c:pt idx="228">
                  <c:v>123.12786475797044</c:v>
                </c:pt>
                <c:pt idx="229">
                  <c:v>123.98314758887348</c:v>
                </c:pt>
                <c:pt idx="230">
                  <c:v>124.83839652312855</c:v>
                </c:pt>
                <c:pt idx="231">
                  <c:v>125.69357817921697</c:v>
                </c:pt>
                <c:pt idx="232">
                  <c:v>126.54865930638553</c:v>
                </c:pt>
                <c:pt idx="233">
                  <c:v>127.40360678578939</c:v>
                </c:pt>
                <c:pt idx="234">
                  <c:v>128.25838763161923</c:v>
                </c:pt>
                <c:pt idx="235">
                  <c:v>129.11296899221279</c:v>
                </c:pt>
                <c:pt idx="236">
                  <c:v>129.96731815115206</c:v>
                </c:pt>
                <c:pt idx="237">
                  <c:v>130.82140252834384</c:v>
                </c:pt>
                <c:pt idx="238">
                  <c:v>131.67518968108575</c:v>
                </c:pt>
                <c:pt idx="239">
                  <c:v>132.528647305117</c:v>
                </c:pt>
                <c:pt idx="240">
                  <c:v>133.38174323565281</c:v>
                </c:pt>
                <c:pt idx="241">
                  <c:v>134.23444544840433</c:v>
                </c:pt>
                <c:pt idx="242">
                  <c:v>135.08627914858312</c:v>
                </c:pt>
                <c:pt idx="243">
                  <c:v>135.93676429958126</c:v>
                </c:pt>
                <c:pt idx="244">
                  <c:v>136.78586165119378</c:v>
                </c:pt>
                <c:pt idx="245">
                  <c:v>137.63353219490696</c:v>
                </c:pt>
                <c:pt idx="246">
                  <c:v>138.47973716494104</c:v>
                </c:pt>
                <c:pt idx="247">
                  <c:v>139.32443803926739</c:v>
                </c:pt>
                <c:pt idx="248">
                  <c:v>140.16759654059967</c:v>
                </c:pt>
                <c:pt idx="249">
                  <c:v>141.00917463735959</c:v>
                </c:pt>
                <c:pt idx="250">
                  <c:v>141.84913454461707</c:v>
                </c:pt>
                <c:pt idx="251">
                  <c:v>142.68743872500525</c:v>
                </c:pt>
                <c:pt idx="252">
                  <c:v>143.52404988960942</c:v>
                </c:pt>
                <c:pt idx="253">
                  <c:v>144.35893099883162</c:v>
                </c:pt>
                <c:pt idx="254">
                  <c:v>145.19204526322937</c:v>
                </c:pt>
                <c:pt idx="255">
                  <c:v>146.02335614432971</c:v>
                </c:pt>
                <c:pt idx="256">
                  <c:v>146.85282735541793</c:v>
                </c:pt>
                <c:pt idx="257">
                  <c:v>147.6804228623017</c:v>
                </c:pt>
                <c:pt idx="258">
                  <c:v>148.50610688405035</c:v>
                </c:pt>
                <c:pt idx="259">
                  <c:v>149.3298438937093</c:v>
                </c:pt>
                <c:pt idx="260">
                  <c:v>150.15159861898996</c:v>
                </c:pt>
                <c:pt idx="261">
                  <c:v>150.97133604293546</c:v>
                </c:pt>
                <c:pt idx="262">
                  <c:v>151.78902140456154</c:v>
                </c:pt>
                <c:pt idx="263">
                  <c:v>152.60462019947354</c:v>
                </c:pt>
                <c:pt idx="264">
                  <c:v>153.41809818045911</c:v>
                </c:pt>
                <c:pt idx="265">
                  <c:v>154.22942135805698</c:v>
                </c:pt>
                <c:pt idx="266">
                  <c:v>155.03855600110188</c:v>
                </c:pt>
                <c:pt idx="267">
                  <c:v>155.8454686372456</c:v>
                </c:pt>
                <c:pt idx="268">
                  <c:v>156.65012605345393</c:v>
                </c:pt>
                <c:pt idx="269">
                  <c:v>157.45249529648152</c:v>
                </c:pt>
                <c:pt idx="270">
                  <c:v>158.25254367332164</c:v>
                </c:pt>
                <c:pt idx="271">
                  <c:v>159.05023875163374</c:v>
                </c:pt>
                <c:pt idx="272">
                  <c:v>159.84554836014766</c:v>
                </c:pt>
                <c:pt idx="273">
                  <c:v>160.63844058904456</c:v>
                </c:pt>
                <c:pt idx="274">
                  <c:v>161.42888379031552</c:v>
                </c:pt>
                <c:pt idx="275">
                  <c:v>162.21684657809723</c:v>
                </c:pt>
                <c:pt idx="276">
                  <c:v>163.00229782898441</c:v>
                </c:pt>
                <c:pt idx="277">
                  <c:v>163.78520668232107</c:v>
                </c:pt>
                <c:pt idx="278">
                  <c:v>164.5655425404689</c:v>
                </c:pt>
                <c:pt idx="279">
                  <c:v>165.34327506905271</c:v>
                </c:pt>
                <c:pt idx="280">
                  <c:v>166.11837419718591</c:v>
                </c:pt>
                <c:pt idx="281">
                  <c:v>166.89081011767166</c:v>
                </c:pt>
                <c:pt idx="282">
                  <c:v>167.66055328718434</c:v>
                </c:pt>
                <c:pt idx="283">
                  <c:v>168.42757442642883</c:v>
                </c:pt>
                <c:pt idx="284">
                  <c:v>169.19242463892829</c:v>
                </c:pt>
                <c:pt idx="285">
                  <c:v>169.9556600417533</c:v>
                </c:pt>
                <c:pt idx="286">
                  <c:v>170.71725866607062</c:v>
                </c:pt>
                <c:pt idx="287">
                  <c:v>171.47719869601335</c:v>
                </c:pt>
                <c:pt idx="288">
                  <c:v>172.23545846891005</c:v>
                </c:pt>
                <c:pt idx="289">
                  <c:v>172.99201647550157</c:v>
                </c:pt>
                <c:pt idx="290">
                  <c:v>173.74685136014742</c:v>
                </c:pt>
                <c:pt idx="291">
                  <c:v>174.49994192102065</c:v>
                </c:pt>
                <c:pt idx="292">
                  <c:v>175.25126711029085</c:v>
                </c:pt>
                <c:pt idx="293">
                  <c:v>176.00080603429677</c:v>
                </c:pt>
                <c:pt idx="294">
                  <c:v>176.74853795370714</c:v>
                </c:pt>
                <c:pt idx="295">
                  <c:v>177.49444228367128</c:v>
                </c:pt>
                <c:pt idx="296">
                  <c:v>178.23849859395744</c:v>
                </c:pt>
                <c:pt idx="297">
                  <c:v>178.98068660908177</c:v>
                </c:pt>
                <c:pt idx="298">
                  <c:v>179.72098620842536</c:v>
                </c:pt>
                <c:pt idx="299">
                  <c:v>180.45937742634032</c:v>
                </c:pt>
                <c:pt idx="300">
                  <c:v>181.19584045224659</c:v>
                </c:pt>
                <c:pt idx="301">
                  <c:v>181.93035563071629</c:v>
                </c:pt>
                <c:pt idx="302">
                  <c:v>182.66290346154878</c:v>
                </c:pt>
                <c:pt idx="303">
                  <c:v>183.39346459983457</c:v>
                </c:pt>
                <c:pt idx="304">
                  <c:v>184.12201985600933</c:v>
                </c:pt>
                <c:pt idx="305">
                  <c:v>184.84855019589696</c:v>
                </c:pt>
                <c:pt idx="306">
                  <c:v>185.57303674074251</c:v>
                </c:pt>
                <c:pt idx="307">
                  <c:v>186.29546076723574</c:v>
                </c:pt>
                <c:pt idx="308">
                  <c:v>187.01580370752288</c:v>
                </c:pt>
                <c:pt idx="309">
                  <c:v>187.73404714921017</c:v>
                </c:pt>
                <c:pt idx="310">
                  <c:v>188.4501728353558</c:v>
                </c:pt>
                <c:pt idx="311">
                  <c:v>189.16416266445344</c:v>
                </c:pt>
                <c:pt idx="312">
                  <c:v>189.87599869040426</c:v>
                </c:pt>
                <c:pt idx="313">
                  <c:v>190.58566312248107</c:v>
                </c:pt>
                <c:pt idx="314">
                  <c:v>191.29313832528103</c:v>
                </c:pt>
                <c:pt idx="315">
                  <c:v>191.99840681867013</c:v>
                </c:pt>
                <c:pt idx="316">
                  <c:v>192.70145127771735</c:v>
                </c:pt>
                <c:pt idx="317">
                  <c:v>193.4022545326192</c:v>
                </c:pt>
                <c:pt idx="318">
                  <c:v>194.10079956861603</c:v>
                </c:pt>
                <c:pt idx="319">
                  <c:v>194.79706952589802</c:v>
                </c:pt>
                <c:pt idx="320">
                  <c:v>195.49104769950202</c:v>
                </c:pt>
                <c:pt idx="321">
                  <c:v>196.18271753919944</c:v>
                </c:pt>
                <c:pt idx="322">
                  <c:v>196.87206264937592</c:v>
                </c:pt>
                <c:pt idx="323">
                  <c:v>197.55906678890025</c:v>
                </c:pt>
                <c:pt idx="324">
                  <c:v>198.24371387098611</c:v>
                </c:pt>
                <c:pt idx="325">
                  <c:v>198.92598796304409</c:v>
                </c:pt>
                <c:pt idx="326">
                  <c:v>199.60591185311569</c:v>
                </c:pt>
                <c:pt idx="327">
                  <c:v>200.2835087018172</c:v>
                </c:pt>
                <c:pt idx="328">
                  <c:v>200.95876332358344</c:v>
                </c:pt>
                <c:pt idx="329">
                  <c:v>201.63166068058948</c:v>
                </c:pt>
                <c:pt idx="330">
                  <c:v>202.30218588257821</c:v>
                </c:pt>
                <c:pt idx="331">
                  <c:v>202.97032418667928</c:v>
                </c:pt>
                <c:pt idx="332">
                  <c:v>203.63606099722028</c:v>
                </c:pt>
                <c:pt idx="333">
                  <c:v>204.29938186553051</c:v>
                </c:pt>
                <c:pt idx="334">
                  <c:v>204.96027248973613</c:v>
                </c:pt>
                <c:pt idx="335">
                  <c:v>205.61871871454875</c:v>
                </c:pt>
                <c:pt idx="336">
                  <c:v>206.27470653104561</c:v>
                </c:pt>
                <c:pt idx="337">
                  <c:v>206.92822207644258</c:v>
                </c:pt>
                <c:pt idx="338">
                  <c:v>207.57925163385946</c:v>
                </c:pt>
                <c:pt idx="339">
                  <c:v>208.22778163207849</c:v>
                </c:pt>
                <c:pt idx="340">
                  <c:v>208.8737986452953</c:v>
                </c:pt>
                <c:pt idx="341">
                  <c:v>209.51728939286232</c:v>
                </c:pt>
                <c:pt idx="342">
                  <c:v>210.15824073902542</c:v>
                </c:pt>
                <c:pt idx="343">
                  <c:v>210.79663969265351</c:v>
                </c:pt>
                <c:pt idx="344">
                  <c:v>211.43247340696152</c:v>
                </c:pt>
                <c:pt idx="345">
                  <c:v>212.06572917922563</c:v>
                </c:pt>
                <c:pt idx="346">
                  <c:v>212.69639445049248</c:v>
                </c:pt>
                <c:pt idx="347">
                  <c:v>213.32445680528167</c:v>
                </c:pt>
                <c:pt idx="348">
                  <c:v>213.94990397128069</c:v>
                </c:pt>
                <c:pt idx="349">
                  <c:v>214.57272381903462</c:v>
                </c:pt>
                <c:pt idx="350">
                  <c:v>215.19290436162825</c:v>
                </c:pt>
                <c:pt idx="351">
                  <c:v>215.81043375436275</c:v>
                </c:pt>
                <c:pt idx="352">
                  <c:v>216.42530029442494</c:v>
                </c:pt>
                <c:pt idx="353">
                  <c:v>217.03749242055144</c:v>
                </c:pt>
                <c:pt idx="354">
                  <c:v>217.64699871268573</c:v>
                </c:pt>
                <c:pt idx="355">
                  <c:v>218.25380789162958</c:v>
                </c:pt>
                <c:pt idx="356">
                  <c:v>218.85790881868905</c:v>
                </c:pt>
                <c:pt idx="357">
                  <c:v>219.45929049531276</c:v>
                </c:pt>
                <c:pt idx="358">
                  <c:v>220.05794206272648</c:v>
                </c:pt>
                <c:pt idx="359">
                  <c:v>220.65385280156062</c:v>
                </c:pt>
                <c:pt idx="360">
                  <c:v>221.2470121314725</c:v>
                </c:pt>
                <c:pt idx="361">
                  <c:v>221.83740961076259</c:v>
                </c:pt>
                <c:pt idx="362">
                  <c:v>222.42503493598591</c:v>
                </c:pt>
                <c:pt idx="363">
                  <c:v>223.00987794155728</c:v>
                </c:pt>
                <c:pt idx="364">
                  <c:v>223.59192859935149</c:v>
                </c:pt>
                <c:pt idx="365">
                  <c:v>224.17117701829875</c:v>
                </c:pt>
                <c:pt idx="366">
                  <c:v>224.7486468708515</c:v>
                </c:pt>
                <c:pt idx="367">
                  <c:v>225.32536584542584</c:v>
                </c:pt>
                <c:pt idx="368">
                  <c:v>225.90132909854771</c:v>
                </c:pt>
                <c:pt idx="369">
                  <c:v>226.47653181804546</c:v>
                </c:pt>
                <c:pt idx="370">
                  <c:v>227.0509692230348</c:v>
                </c:pt>
                <c:pt idx="371">
                  <c:v>227.62463656390076</c:v>
                </c:pt>
                <c:pt idx="372">
                  <c:v>228.19752912228094</c:v>
                </c:pt>
                <c:pt idx="373">
                  <c:v>228.76964221104689</c:v>
                </c:pt>
                <c:pt idx="374">
                  <c:v>229.34097117428291</c:v>
                </c:pt>
                <c:pt idx="375">
                  <c:v>229.91151138726644</c:v>
                </c:pt>
                <c:pt idx="376">
                  <c:v>230.48125825644536</c:v>
                </c:pt>
                <c:pt idx="377">
                  <c:v>231.05020721941489</c:v>
                </c:pt>
                <c:pt idx="378">
                  <c:v>231.61835374489408</c:v>
                </c:pt>
                <c:pt idx="379">
                  <c:v>232.18569333270025</c:v>
                </c:pt>
                <c:pt idx="380">
                  <c:v>232.7522215137231</c:v>
                </c:pt>
                <c:pt idx="381">
                  <c:v>233.31679913549411</c:v>
                </c:pt>
                <c:pt idx="382">
                  <c:v>233.87828321224794</c:v>
                </c:pt>
                <c:pt idx="383">
                  <c:v>234.43666489514106</c:v>
                </c:pt>
                <c:pt idx="384">
                  <c:v>234.99193547978422</c:v>
                </c:pt>
                <c:pt idx="385">
                  <c:v>235.54408640571262</c:v>
                </c:pt>
                <c:pt idx="386">
                  <c:v>236.0931092558539</c:v>
                </c:pt>
                <c:pt idx="387">
                  <c:v>236.63899575598916</c:v>
                </c:pt>
                <c:pt idx="388">
                  <c:v>237.18173777421055</c:v>
                </c:pt>
                <c:pt idx="389">
                  <c:v>237.72132732037502</c:v>
                </c:pt>
                <c:pt idx="390">
                  <c:v>238.25775654555218</c:v>
                </c:pt>
                <c:pt idx="391">
                  <c:v>238.79101774146901</c:v>
                </c:pt>
                <c:pt idx="392">
                  <c:v>239.32110333995021</c:v>
                </c:pt>
                <c:pt idx="393">
                  <c:v>239.84800591235404</c:v>
                </c:pt>
                <c:pt idx="394">
                  <c:v>240.37171816900462</c:v>
                </c:pt>
                <c:pt idx="395">
                  <c:v>240.89223295861947</c:v>
                </c:pt>
                <c:pt idx="396">
                  <c:v>241.40954326773499</c:v>
                </c:pt>
                <c:pt idx="397">
                  <c:v>241.92364222012529</c:v>
                </c:pt>
                <c:pt idx="398">
                  <c:v>242.43452307622047</c:v>
                </c:pt>
                <c:pt idx="399">
                  <c:v>242.94217923251864</c:v>
                </c:pt>
                <c:pt idx="400">
                  <c:v>243.44660422099625</c:v>
                </c:pt>
                <c:pt idx="401">
                  <c:v>243.94688294549931</c:v>
                </c:pt>
                <c:pt idx="402">
                  <c:v>244.44209814428939</c:v>
                </c:pt>
                <c:pt idx="403">
                  <c:v>244.93224142262594</c:v>
                </c:pt>
                <c:pt idx="404">
                  <c:v>245.41730465288248</c:v>
                </c:pt>
                <c:pt idx="405">
                  <c:v>245.89727997313571</c:v>
                </c:pt>
                <c:pt idx="406">
                  <c:v>246.37215978574673</c:v>
                </c:pt>
                <c:pt idx="407">
                  <c:v>246.84193675593636</c:v>
                </c:pt>
                <c:pt idx="408">
                  <c:v>247.30660381035386</c:v>
                </c:pt>
                <c:pt idx="409">
                  <c:v>247.7661541356384</c:v>
                </c:pt>
                <c:pt idx="410">
                  <c:v>248.22058117697489</c:v>
                </c:pt>
                <c:pt idx="411">
                  <c:v>248.66482027177381</c:v>
                </c:pt>
                <c:pt idx="412">
                  <c:v>249.09379746013792</c:v>
                </c:pt>
                <c:pt idx="413">
                  <c:v>249.5074995066264</c:v>
                </c:pt>
                <c:pt idx="414">
                  <c:v>249.9059149436865</c:v>
                </c:pt>
                <c:pt idx="415">
                  <c:v>250.28903405936512</c:v>
                </c:pt>
                <c:pt idx="416">
                  <c:v>250.65684888493718</c:v>
                </c:pt>
                <c:pt idx="417">
                  <c:v>251.00935318245712</c:v>
                </c:pt>
                <c:pt idx="418">
                  <c:v>251.34654243223684</c:v>
                </c:pt>
                <c:pt idx="419">
                  <c:v>251.6684138202516</c:v>
                </c:pt>
                <c:pt idx="420">
                  <c:v>251.97207555608153</c:v>
                </c:pt>
                <c:pt idx="421">
                  <c:v>252.25463608997444</c:v>
                </c:pt>
                <c:pt idx="422">
                  <c:v>252.51609986985508</c:v>
                </c:pt>
                <c:pt idx="423">
                  <c:v>252.75647442099046</c:v>
                </c:pt>
                <c:pt idx="424">
                  <c:v>252.97577032155971</c:v>
                </c:pt>
                <c:pt idx="425">
                  <c:v>253.17400117808535</c:v>
                </c:pt>
                <c:pt idx="426">
                  <c:v>253.35118360073076</c:v>
                </c:pt>
                <c:pt idx="427">
                  <c:v>253.50733717847612</c:v>
                </c:pt>
                <c:pt idx="428">
                  <c:v>253.64248445417959</c:v>
                </c:pt>
                <c:pt idx="429">
                  <c:v>253.75665089953392</c:v>
                </c:pt>
                <c:pt idx="430">
                  <c:v>253.8498648899253</c:v>
                </c:pt>
                <c:pt idx="431">
                  <c:v>253.92215767920518</c:v>
                </c:pt>
                <c:pt idx="432">
                  <c:v>253.9688989384878</c:v>
                </c:pt>
                <c:pt idx="433">
                  <c:v>253.98546977538234</c:v>
                </c:pt>
                <c:pt idx="434">
                  <c:v>253.97193052599704</c:v>
                </c:pt>
                <c:pt idx="435">
                  <c:v>253.92834737208338</c:v>
                </c:pt>
                <c:pt idx="436">
                  <c:v>253.85479228703412</c:v>
                </c:pt>
                <c:pt idx="437">
                  <c:v>253.75134298163627</c:v>
                </c:pt>
                <c:pt idx="438">
                  <c:v>253.6180828496048</c:v>
                </c:pt>
                <c:pt idx="439">
                  <c:v>253.45510091291803</c:v>
                </c:pt>
                <c:pt idx="440">
                  <c:v>253.26249176697942</c:v>
                </c:pt>
                <c:pt idx="441">
                  <c:v>253.04035552563096</c:v>
                </c:pt>
                <c:pt idx="442">
                  <c:v>252.79161853230832</c:v>
                </c:pt>
                <c:pt idx="443">
                  <c:v>252.51919987460226</c:v>
                </c:pt>
                <c:pt idx="444">
                  <c:v>252.22319222345331</c:v>
                </c:pt>
                <c:pt idx="445">
                  <c:v>251.90369165888157</c:v>
                </c:pt>
                <c:pt idx="446">
                  <c:v>251.56079763416577</c:v>
                </c:pt>
                <c:pt idx="447">
                  <c:v>251.19461294007101</c:v>
                </c:pt>
                <c:pt idx="448">
                  <c:v>250.80524366913249</c:v>
                </c:pt>
                <c:pt idx="449">
                  <c:v>250.39279918000878</c:v>
                </c:pt>
                <c:pt idx="450">
                  <c:v>249.95739206191396</c:v>
                </c:pt>
                <c:pt idx="451">
                  <c:v>249.49913809913627</c:v>
                </c:pt>
                <c:pt idx="452">
                  <c:v>249.01815623565625</c:v>
                </c:pt>
                <c:pt idx="453">
                  <c:v>248.51856592536356</c:v>
                </c:pt>
                <c:pt idx="454">
                  <c:v>248.00446296094066</c:v>
                </c:pt>
                <c:pt idx="455">
                  <c:v>247.47592947366658</c:v>
                </c:pt>
                <c:pt idx="456">
                  <c:v>246.93304877457842</c:v>
                </c:pt>
                <c:pt idx="457">
                  <c:v>246.37590534041504</c:v>
                </c:pt>
                <c:pt idx="458">
                  <c:v>245.80458479965475</c:v>
                </c:pt>
                <c:pt idx="459">
                  <c:v>245.21917391865199</c:v>
                </c:pt>
                <c:pt idx="460">
                  <c:v>244.61976058787431</c:v>
                </c:pt>
                <c:pt idx="461">
                  <c:v>244.00999406689104</c:v>
                </c:pt>
                <c:pt idx="462">
                  <c:v>243.39349736855786</c:v>
                </c:pt>
                <c:pt idx="463">
                  <c:v>242.77031596835781</c:v>
                </c:pt>
                <c:pt idx="464">
                  <c:v>242.14049553768433</c:v>
                </c:pt>
                <c:pt idx="465">
                  <c:v>241.50408194099006</c:v>
                </c:pt>
                <c:pt idx="466">
                  <c:v>240.85815173521854</c:v>
                </c:pt>
                <c:pt idx="467">
                  <c:v>240.19980552410149</c:v>
                </c:pt>
                <c:pt idx="468">
                  <c:v>239.49616143138908</c:v>
                </c:pt>
                <c:pt idx="469">
                  <c:v>238.75490226839429</c:v>
                </c:pt>
                <c:pt idx="470">
                  <c:v>238.01651136035937</c:v>
                </c:pt>
                <c:pt idx="471">
                  <c:v>237.28097394929881</c:v>
                </c:pt>
                <c:pt idx="472">
                  <c:v>236.54827537299843</c:v>
                </c:pt>
                <c:pt idx="473">
                  <c:v>235.81840106426765</c:v>
                </c:pt>
                <c:pt idx="474">
                  <c:v>235.09133655019747</c:v>
                </c:pt>
                <c:pt idx="475">
                  <c:v>234.36706745142735</c:v>
                </c:pt>
                <c:pt idx="476">
                  <c:v>233.6455794814168</c:v>
                </c:pt>
                <c:pt idx="477">
                  <c:v>232.92685844572449</c:v>
                </c:pt>
                <c:pt idx="478">
                  <c:v>232.21089024129353</c:v>
                </c:pt>
                <c:pt idx="479">
                  <c:v>231.49766085574447</c:v>
                </c:pt>
                <c:pt idx="480">
                  <c:v>230.78715636667206</c:v>
                </c:pt>
                <c:pt idx="481">
                  <c:v>230.07936294095168</c:v>
                </c:pt>
                <c:pt idx="482">
                  <c:v>229.37426683404914</c:v>
                </c:pt>
                <c:pt idx="483">
                  <c:v>228.67185438933856</c:v>
                </c:pt>
                <c:pt idx="484">
                  <c:v>227.97211203742555</c:v>
                </c:pt>
                <c:pt idx="485">
                  <c:v>227.27502629547689</c:v>
                </c:pt>
                <c:pt idx="486">
                  <c:v>226.5805837665558</c:v>
                </c:pt>
                <c:pt idx="487">
                  <c:v>225.88877113896353</c:v>
                </c:pt>
                <c:pt idx="488">
                  <c:v>225.19957518558684</c:v>
                </c:pt>
                <c:pt idx="489">
                  <c:v>224.51298276325105</c:v>
                </c:pt>
                <c:pt idx="490">
                  <c:v>223.82898081207915</c:v>
                </c:pt>
                <c:pt idx="491">
                  <c:v>223.1475563548567</c:v>
                </c:pt>
                <c:pt idx="492">
                  <c:v>222.46869649640155</c:v>
                </c:pt>
                <c:pt idx="493">
                  <c:v>221.79238842294097</c:v>
                </c:pt>
                <c:pt idx="494">
                  <c:v>221.11861940149225</c:v>
                </c:pt>
                <c:pt idx="495">
                  <c:v>220.44737677924985</c:v>
                </c:pt>
                <c:pt idx="496">
                  <c:v>219.7786479829783</c:v>
                </c:pt>
                <c:pt idx="497">
                  <c:v>219.11242051841</c:v>
                </c:pt>
                <c:pt idx="498">
                  <c:v>218.44868196964799</c:v>
                </c:pt>
                <c:pt idx="499">
                  <c:v>217.78741999857499</c:v>
                </c:pt>
                <c:pt idx="500">
                  <c:v>217.12862234426638</c:v>
                </c:pt>
                <c:pt idx="501">
                  <c:v>210.61875009673963</c:v>
                </c:pt>
                <c:pt idx="502">
                  <c:v>204.34714382454592</c:v>
                </c:pt>
                <c:pt idx="503">
                  <c:v>198.30234307644832</c:v>
                </c:pt>
                <c:pt idx="504">
                  <c:v>192.47357687753129</c:v>
                </c:pt>
                <c:pt idx="505">
                  <c:v>186.85071429300552</c:v>
                </c:pt>
                <c:pt idx="506">
                  <c:v>181.42421909693203</c:v>
                </c:pt>
                <c:pt idx="507">
                  <c:v>176.18510815962523</c:v>
                </c:pt>
                <c:pt idx="508">
                  <c:v>171.12491320801882</c:v>
                </c:pt>
                <c:pt idx="509">
                  <c:v>166.23564564910791</c:v>
                </c:pt>
                <c:pt idx="510">
                  <c:v>161.50976417833547</c:v>
                </c:pt>
                <c:pt idx="511">
                  <c:v>156.94014492295602</c:v>
                </c:pt>
                <c:pt idx="512">
                  <c:v>152.52005389543518</c:v>
                </c:pt>
                <c:pt idx="513">
                  <c:v>148.24312155421222</c:v>
                </c:pt>
                <c:pt idx="514">
                  <c:v>144.10331928899035</c:v>
                </c:pt>
                <c:pt idx="515">
                  <c:v>140.09493766542266</c:v>
                </c:pt>
                <c:pt idx="516">
                  <c:v>136.21256627986975</c:v>
                </c:pt>
                <c:pt idx="517">
                  <c:v>132.45107508905357</c:v>
                </c:pt>
                <c:pt idx="518">
                  <c:v>128.80559709209743</c:v>
                </c:pt>
                <c:pt idx="519">
                  <c:v>125.27151225380409</c:v>
                </c:pt>
                <c:pt idx="520">
                  <c:v>121.84443256821953</c:v>
                </c:pt>
                <c:pt idx="521">
                  <c:v>118.5201881707015</c:v>
                </c:pt>
                <c:pt idx="522">
                  <c:v>115.29481441495817</c:v>
                </c:pt>
                <c:pt idx="523">
                  <c:v>112.16453983895697</c:v>
                </c:pt>
                <c:pt idx="524">
                  <c:v>109.12577495030571</c:v>
                </c:pt>
                <c:pt idx="525">
                  <c:v>106.17510176776052</c:v>
                </c:pt>
                <c:pt idx="526">
                  <c:v>103.30926406098524</c:v>
                </c:pt>
                <c:pt idx="527">
                  <c:v>100.52515823563705</c:v>
                </c:pt>
                <c:pt idx="528">
                  <c:v>97.81982481533376</c:v>
                </c:pt>
                <c:pt idx="529">
                  <c:v>95.190440476123612</c:v>
                </c:pt>
                <c:pt idx="530">
                  <c:v>92.634310592765715</c:v>
                </c:pt>
                <c:pt idx="531">
                  <c:v>90.148862259477994</c:v>
                </c:pt>
                <c:pt idx="532">
                  <c:v>87.731637750856194</c:v>
                </c:pt>
                <c:pt idx="533">
                  <c:v>85.380288391438185</c:v>
                </c:pt>
                <c:pt idx="534">
                  <c:v>83.092568804912304</c:v>
                </c:pt>
                <c:pt idx="535">
                  <c:v>80.866331516269696</c:v>
                </c:pt>
                <c:pt idx="536">
                  <c:v>78.699521882300772</c:v>
                </c:pt>
                <c:pt idx="537">
                  <c:v>76.590173327752368</c:v>
                </c:pt>
                <c:pt idx="538">
                  <c:v>74.536402866215724</c:v>
                </c:pt>
                <c:pt idx="539">
                  <c:v>72.53640688641886</c:v>
                </c:pt>
                <c:pt idx="540">
                  <c:v>70.588457186062115</c:v>
                </c:pt>
                <c:pt idx="541">
                  <c:v>68.690897236683625</c:v>
                </c:pt>
                <c:pt idx="542">
                  <c:v>66.842138664270919</c:v>
                </c:pt>
                <c:pt idx="543">
                  <c:v>65.0406579314689</c:v>
                </c:pt>
                <c:pt idx="544">
                  <c:v>63.284993208270642</c:v>
                </c:pt>
                <c:pt idx="545">
                  <c:v>61.573741419034135</c:v>
                </c:pt>
                <c:pt idx="546">
                  <c:v>59.905555454544654</c:v>
                </c:pt>
                <c:pt idx="547">
                  <c:v>58.279141538650407</c:v>
                </c:pt>
                <c:pt idx="548">
                  <c:v>56.693256739743994</c:v>
                </c:pt>
                <c:pt idx="549">
                  <c:v>55.146706618046238</c:v>
                </c:pt>
                <c:pt idx="550">
                  <c:v>53.638343000282525</c:v>
                </c:pt>
                <c:pt idx="551">
                  <c:v>52.16706187392483</c:v>
                </c:pt>
                <c:pt idx="552">
                  <c:v>50.731801393710519</c:v>
                </c:pt>
                <c:pt idx="553">
                  <c:v>49.331539993648327</c:v>
                </c:pt>
                <c:pt idx="554">
                  <c:v>47.96529459818057</c:v>
                </c:pt>
                <c:pt idx="555">
                  <c:v>46.632118926597244</c:v>
                </c:pt>
                <c:pt idx="556">
                  <c:v>45.33110188519197</c:v>
                </c:pt>
                <c:pt idx="557">
                  <c:v>44.061366042013958</c:v>
                </c:pt>
                <c:pt idx="558">
                  <c:v>42.822066179409703</c:v>
                </c:pt>
                <c:pt idx="559">
                  <c:v>41.612387919860694</c:v>
                </c:pt>
                <c:pt idx="560">
                  <c:v>40.431546420915453</c:v>
                </c:pt>
                <c:pt idx="561">
                  <c:v>39.278785135284345</c:v>
                </c:pt>
                <c:pt idx="562">
                  <c:v>38.153374632416444</c:v>
                </c:pt>
                <c:pt idx="563">
                  <c:v>37.054611478111347</c:v>
                </c:pt>
                <c:pt idx="564">
                  <c:v>35.981817168936132</c:v>
                </c:pt>
                <c:pt idx="565">
                  <c:v>34.934337118419037</c:v>
                </c:pt>
                <c:pt idx="566">
                  <c:v>33.911539692180028</c:v>
                </c:pt>
                <c:pt idx="567">
                  <c:v>32.912815289333146</c:v>
                </c:pt>
                <c:pt idx="568">
                  <c:v>31.937575467659162</c:v>
                </c:pt>
                <c:pt idx="569">
                  <c:v>30.985252110198672</c:v>
                </c:pt>
                <c:pt idx="570">
                  <c:v>30.055296631058312</c:v>
                </c:pt>
                <c:pt idx="571">
                  <c:v>29.147179218354832</c:v>
                </c:pt>
                <c:pt idx="572">
                  <c:v>28.260388112345684</c:v>
                </c:pt>
                <c:pt idx="573">
                  <c:v>27.394428916910318</c:v>
                </c:pt>
                <c:pt idx="574">
                  <c:v>26.548823942654288</c:v>
                </c:pt>
                <c:pt idx="575">
                  <c:v>25.723111580009757</c:v>
                </c:pt>
                <c:pt idx="576">
                  <c:v>24.916845700799385</c:v>
                </c:pt>
                <c:pt idx="577">
                  <c:v>24.129595086820636</c:v>
                </c:pt>
                <c:pt idx="578">
                  <c:v>23.360942884088669</c:v>
                </c:pt>
                <c:pt idx="579">
                  <c:v>22.610486081454884</c:v>
                </c:pt>
                <c:pt idx="580">
                  <c:v>21.877835012390079</c:v>
                </c:pt>
                <c:pt idx="581">
                  <c:v>21.162612878789627</c:v>
                </c:pt>
                <c:pt idx="582">
                  <c:v>20.464455295721965</c:v>
                </c:pt>
                <c:pt idx="583">
                  <c:v>19.783009856101824</c:v>
                </c:pt>
                <c:pt idx="584">
                  <c:v>19.117935714325441</c:v>
                </c:pt>
                <c:pt idx="585">
                  <c:v>18.468903187958521</c:v>
                </c:pt>
                <c:pt idx="586">
                  <c:v>17.835593376616806</c:v>
                </c:pt>
                <c:pt idx="587">
                  <c:v>17.21769779722602</c:v>
                </c:pt>
                <c:pt idx="588">
                  <c:v>16.614918034891907</c:v>
                </c:pt>
                <c:pt idx="589">
                  <c:v>16.026965408652057</c:v>
                </c:pt>
                <c:pt idx="590">
                  <c:v>15.453560651420183</c:v>
                </c:pt>
                <c:pt idx="591">
                  <c:v>14.894433603469947</c:v>
                </c:pt>
                <c:pt idx="592">
                  <c:v>14.3493229188398</c:v>
                </c:pt>
                <c:pt idx="593">
                  <c:v>13.81797578407247</c:v>
                </c:pt>
                <c:pt idx="594">
                  <c:v>13.300147648733333</c:v>
                </c:pt>
                <c:pt idx="595">
                  <c:v>12.795601967180383</c:v>
                </c:pt>
                <c:pt idx="596">
                  <c:v>12.30410995108554</c:v>
                </c:pt>
                <c:pt idx="597">
                  <c:v>11.825450332232284</c:v>
                </c:pt>
                <c:pt idx="598">
                  <c:v>11.359409135138607</c:v>
                </c:pt>
                <c:pt idx="599">
                  <c:v>10.90577945907655</c:v>
                </c:pt>
                <c:pt idx="600">
                  <c:v>10.464361269080767</c:v>
                </c:pt>
                <c:pt idx="601">
                  <c:v>10.034961195558415</c:v>
                </c:pt>
                <c:pt idx="602">
                  <c:v>9.6173923421310441</c:v>
                </c:pt>
                <c:pt idx="603">
                  <c:v>9.2114741013567709</c:v>
                </c:pt>
                <c:pt idx="604">
                  <c:v>8.817031977997237</c:v>
                </c:pt>
                <c:pt idx="605">
                  <c:v>8.4338974195088241</c:v>
                </c:pt>
                <c:pt idx="606">
                  <c:v>8.0619076534519873</c:v>
                </c:pt>
                <c:pt idx="607">
                  <c:v>7.700905531525299</c:v>
                </c:pt>
                <c:pt idx="608">
                  <c:v>7.3507393799429259</c:v>
                </c:pt>
                <c:pt idx="609">
                  <c:v>7.0112628558850583</c:v>
                </c:pt>
                <c:pt idx="610">
                  <c:v>6.6823348097607047</c:v>
                </c:pt>
                <c:pt idx="611">
                  <c:v>6.3638191530307768</c:v>
                </c:pt>
                <c:pt idx="612">
                  <c:v>6.0555847313470945</c:v>
                </c:pt>
                <c:pt idx="613">
                  <c:v>5.7575052027690417</c:v>
                </c:pt>
                <c:pt idx="614">
                  <c:v>5.4694589208245663</c:v>
                </c:pt>
                <c:pt idx="615">
                  <c:v>5.1913288221856515</c:v>
                </c:pt>
                <c:pt idx="616">
                  <c:v>4.9230023187301937</c:v>
                </c:pt>
                <c:pt idx="617">
                  <c:v>4.6643711937621619</c:v>
                </c:pt>
                <c:pt idx="618">
                  <c:v>4.4153315021599111</c:v>
                </c:pt>
                <c:pt idx="619">
                  <c:v>4.1757834742179067</c:v>
                </c:pt>
                <c:pt idx="620">
                  <c:v>3.94563142294006</c:v>
                </c:pt>
                <c:pt idx="621">
                  <c:v>3.7247836545323931</c:v>
                </c:pt>
                <c:pt idx="622">
                  <c:v>3.5131523818287156</c:v>
                </c:pt>
                <c:pt idx="623">
                  <c:v>3.3106536403645035</c:v>
                </c:pt>
                <c:pt idx="624">
                  <c:v>3.1172072067907881</c:v>
                </c:pt>
                <c:pt idx="625">
                  <c:v>2.9327365192903385</c:v>
                </c:pt>
                <c:pt idx="626">
                  <c:v>2.7571685996222248</c:v>
                </c:pt>
                <c:pt idx="627">
                  <c:v>2.5904339763765072</c:v>
                </c:pt>
                <c:pt idx="628">
                  <c:v>2.4324666089675633</c:v>
                </c:pt>
                <c:pt idx="629">
                  <c:v>2.2832038118308344</c:v>
                </c:pt>
                <c:pt idx="630">
                  <c:v>2.1425861782129965</c:v>
                </c:pt>
                <c:pt idx="631">
                  <c:v>2.0105575028585205</c:v>
                </c:pt>
                <c:pt idx="632">
                  <c:v>1.8870647027964365</c:v>
                </c:pt>
                <c:pt idx="633">
                  <c:v>1.7720577353203442</c:v>
                </c:pt>
                <c:pt idx="634">
                  <c:v>1.6654895121348308</c:v>
                </c:pt>
                <c:pt idx="635">
                  <c:v>1.5673158085168506</c:v>
                </c:pt>
                <c:pt idx="636">
                  <c:v>1.4774951662190361</c:v>
                </c:pt>
                <c:pt idx="637">
                  <c:v>1.3959887887351576</c:v>
                </c:pt>
                <c:pt idx="638">
                  <c:v>1.3227604274728177</c:v>
                </c:pt>
                <c:pt idx="639">
                  <c:v>1.257776257357138</c:v>
                </c:pt>
                <c:pt idx="640">
                  <c:v>1.2010047404488755</c:v>
                </c:pt>
                <c:pt idx="641">
                  <c:v>1.1524164763311819</c:v>
                </c:pt>
                <c:pt idx="642">
                  <c:v>1.1119840383297797</c:v>
                </c:pt>
                <c:pt idx="643">
                  <c:v>1.0796817951024038</c:v>
                </c:pt>
                <c:pt idx="644">
                  <c:v>1.0554857177689365</c:v>
                </c:pt>
                <c:pt idx="645">
                  <c:v>1.0393731735319003</c:v>
                </c:pt>
                <c:pt idx="646">
                  <c:v>1.0313227076043843</c:v>
                </c:pt>
                <c:pt idx="647">
                  <c:v>1.0313138161339808</c:v>
                </c:pt>
                <c:pt idx="648">
                  <c:v>1.0393267135803319</c:v>
                </c:pt>
                <c:pt idx="649">
                  <c:v>1.055342098561614</c:v>
                </c:pt>
                <c:pt idx="650">
                  <c:v>1.0793409224449846</c:v>
                </c:pt>
                <c:pt idx="651">
                  <c:v>1.1113041648752524</c:v>
                </c:pt>
                <c:pt idx="652">
                  <c:v>1.1512126200280095</c:v>
                </c:pt>
                <c:pt idx="653">
                  <c:v>1.1990466967035325</c:v>
                </c:pt>
                <c:pt idx="654">
                  <c:v>1.254786234546309</c:v>
                </c:pt>
                <c:pt idx="655">
                  <c:v>1.3184103377929406</c:v>
                </c:pt>
                <c:pt idx="656">
                  <c:v>1.3898972271172925</c:v>
                </c:pt>
                <c:pt idx="657">
                  <c:v>1.4692241094272622</c:v>
                </c:pt>
                <c:pt idx="658">
                  <c:v>1.5563670649108332</c:v>
                </c:pt>
                <c:pt idx="659">
                  <c:v>1.6513009502387757</c:v>
                </c:pt>
                <c:pt idx="660">
                  <c:v>1.7539993165944132</c:v>
                </c:pt>
                <c:pt idx="661">
                  <c:v>1.8644343410913853</c:v>
                </c:pt>
                <c:pt idx="662">
                  <c:v>1.9825767701281352</c:v>
                </c:pt>
                <c:pt idx="663">
                  <c:v>2.1083958732834178</c:v>
                </c:pt>
                <c:pt idx="664">
                  <c:v>2.2418594064554567</c:v>
                </c:pt>
                <c:pt idx="665">
                  <c:v>2.3829335830685299</c:v>
                </c:pt>
                <c:pt idx="666">
                  <c:v>2.531583052300443</c:v>
                </c:pt>
                <c:pt idx="667">
                  <c:v>2.6877708834127692</c:v>
                </c:pt>
                <c:pt idx="668">
                  <c:v>2.8514585553867597</c:v>
                </c:pt>
                <c:pt idx="669">
                  <c:v>3.0226059511783387</c:v>
                </c:pt>
                <c:pt idx="670">
                  <c:v>3.2011713560038255</c:v>
                </c:pt>
                <c:pt idx="671">
                  <c:v>3.3871114591541671</c:v>
                </c:pt>
                <c:pt idx="672">
                  <c:v>3.5803813589097349</c:v>
                </c:pt>
                <c:pt idx="673">
                  <c:v>3.780934570191389</c:v>
                </c:pt>
                <c:pt idx="674">
                  <c:v>3.9887230346375087</c:v>
                </c:pt>
                <c:pt idx="675">
                  <c:v>4.2036971328423647</c:v>
                </c:pt>
                <c:pt idx="676">
                  <c:v>4.4258056985295724</c:v>
                </c:pt>
                <c:pt idx="677">
                  <c:v>4.6549960344667394</c:v>
                </c:pt>
                <c:pt idx="678">
                  <c:v>4.8912139299542847</c:v>
                </c:pt>
                <c:pt idx="679">
                  <c:v>5.1344036797442278</c:v>
                </c:pt>
                <c:pt idx="680">
                  <c:v>5.384508104263479</c:v>
                </c:pt>
                <c:pt idx="681">
                  <c:v>5.6414685710322159</c:v>
                </c:pt>
                <c:pt idx="682">
                  <c:v>5.9052250171809977</c:v>
                </c:pt>
                <c:pt idx="683">
                  <c:v>6.1757159729815481</c:v>
                </c:pt>
                <c:pt idx="684">
                  <c:v>6.4528785863153564</c:v>
                </c:pt>
                <c:pt idx="685">
                  <c:v>6.7366486480120793</c:v>
                </c:pt>
                <c:pt idx="686">
                  <c:v>7.0269606179963722</c:v>
                </c:pt>
                <c:pt idx="687">
                  <c:v>7.3237476521872571</c:v>
                </c:pt>
                <c:pt idx="688">
                  <c:v>7.6269416300987913</c:v>
                </c:pt>
                <c:pt idx="689">
                  <c:v>7.9364731830948374</c:v>
                </c:pt>
                <c:pt idx="690">
                  <c:v>8.2522717232539993</c:v>
                </c:pt>
                <c:pt idx="691">
                  <c:v>8.574265472803674</c:v>
                </c:pt>
                <c:pt idx="692">
                  <c:v>8.9023814940845902</c:v>
                </c:pt>
                <c:pt idx="693">
                  <c:v>9.2365457200092234</c:v>
                </c:pt>
                <c:pt idx="694">
                  <c:v>9.5766829849793442</c:v>
                </c:pt>
                <c:pt idx="695">
                  <c:v>9.9227170562294358</c:v>
                </c:pt>
                <c:pt idx="696">
                  <c:v>10.274570665563923</c:v>
                </c:pt>
                <c:pt idx="697">
                  <c:v>10.632165541457578</c:v>
                </c:pt>
                <c:pt idx="698">
                  <c:v>10.995422441489167</c:v>
                </c:pt>
                <c:pt idx="699">
                  <c:v>11.364261185079478</c:v>
                </c:pt>
                <c:pt idx="700">
                  <c:v>11.738600686505643</c:v>
                </c:pt>
                <c:pt idx="701">
                  <c:v>12.118358988164204</c:v>
                </c:pt>
                <c:pt idx="702">
                  <c:v>12.503453294056275</c:v>
                </c:pt>
                <c:pt idx="703">
                  <c:v>12.893800003468455</c:v>
                </c:pt>
                <c:pt idx="704">
                  <c:v>13.28931474482388</c:v>
                </c:pt>
                <c:pt idx="705">
                  <c:v>13.689912409678149</c:v>
                </c:pt>
                <c:pt idx="706">
                  <c:v>14.095507186835487</c:v>
                </c:pt>
                <c:pt idx="707">
                  <c:v>14.506012596560701</c:v>
                </c:pt>
                <c:pt idx="708">
                  <c:v>14.921341524863234</c:v>
                </c:pt>
                <c:pt idx="709">
                  <c:v>15.341406257829622</c:v>
                </c:pt>
                <c:pt idx="710">
                  <c:v>15.766118515981553</c:v>
                </c:pt>
                <c:pt idx="711">
                  <c:v>16.19538948863655</c:v>
                </c:pt>
                <c:pt idx="712">
                  <c:v>16.629129868249258</c:v>
                </c:pt>
                <c:pt idx="713">
                  <c:v>17.067249884711128</c:v>
                </c:pt>
                <c:pt idx="714">
                  <c:v>17.509659339587287</c:v>
                </c:pt>
                <c:pt idx="715">
                  <c:v>17.956267640269164</c:v>
                </c:pt>
                <c:pt idx="716">
                  <c:v>18.406983834022224</c:v>
                </c:pt>
                <c:pt idx="717">
                  <c:v>18.861716641908455</c:v>
                </c:pt>
                <c:pt idx="718">
                  <c:v>19.320374492563662</c:v>
                </c:pt>
                <c:pt idx="719">
                  <c:v>19.782865555809757</c:v>
                </c:pt>
                <c:pt idx="720">
                  <c:v>20.249097776083261</c:v>
                </c:pt>
                <c:pt idx="721">
                  <c:v>20.718978905660929</c:v>
                </c:pt>
                <c:pt idx="722">
                  <c:v>21.192416537664229</c:v>
                </c:pt>
                <c:pt idx="723">
                  <c:v>21.669318138824956</c:v>
                </c:pt>
                <c:pt idx="724">
                  <c:v>22.1495910819941</c:v>
                </c:pt>
                <c:pt idx="725">
                  <c:v>22.633142678377435</c:v>
                </c:pt>
                <c:pt idx="726">
                  <c:v>23.119880209480613</c:v>
                </c:pt>
                <c:pt idx="727">
                  <c:v>23.609710958748234</c:v>
                </c:pt>
                <c:pt idx="728">
                  <c:v>24.102542242880681</c:v>
                </c:pt>
                <c:pt idx="729">
                  <c:v>24.598281442813725</c:v>
                </c:pt>
                <c:pt idx="730">
                  <c:v>25.096836034346094</c:v>
                </c:pt>
                <c:pt idx="731">
                  <c:v>25.598113618400699</c:v>
                </c:pt>
                <c:pt idx="732">
                  <c:v>26.102021950905627</c:v>
                </c:pt>
                <c:pt idx="733">
                  <c:v>26.608468972281553</c:v>
                </c:pt>
                <c:pt idx="734">
                  <c:v>27.117362836522847</c:v>
                </c:pt>
                <c:pt idx="735">
                  <c:v>27.62861193985978</c:v>
                </c:pt>
                <c:pt idx="736">
                  <c:v>28.142124948990137</c:v>
                </c:pt>
                <c:pt idx="737">
                  <c:v>28.657810828868701</c:v>
                </c:pt>
                <c:pt idx="738">
                  <c:v>29.175578870043726</c:v>
                </c:pt>
                <c:pt idx="739">
                  <c:v>29.695338715529999</c:v>
                </c:pt>
                <c:pt idx="740">
                  <c:v>30.217000387208795</c:v>
                </c:pt>
                <c:pt idx="741">
                  <c:v>30.740474311744709</c:v>
                </c:pt>
                <c:pt idx="742">
                  <c:v>31.265671346011366</c:v>
                </c:pt>
                <c:pt idx="743">
                  <c:v>31.792502802016575</c:v>
                </c:pt>
                <c:pt idx="744">
                  <c:v>32.320880471319796</c:v>
                </c:pt>
                <c:pt idx="745">
                  <c:v>32.850716648934196</c:v>
                </c:pt>
                <c:pt idx="746">
                  <c:v>33.38192415670617</c:v>
                </c:pt>
                <c:pt idx="747">
                  <c:v>33.914416366166314</c:v>
                </c:pt>
                <c:pt idx="748">
                  <c:v>34.448107220845394</c:v>
                </c:pt>
                <c:pt idx="749">
                  <c:v>34.982911258050365</c:v>
                </c:pt>
                <c:pt idx="750">
                  <c:v>35.518743630095031</c:v>
                </c:pt>
                <c:pt idx="751">
                  <c:v>36.055520124981015</c:v>
                </c:pt>
                <c:pt idx="752">
                  <c:v>36.593157186525012</c:v>
                </c:pt>
                <c:pt idx="753">
                  <c:v>37.131571933928747</c:v>
                </c:pt>
                <c:pt idx="754">
                  <c:v>37.67068218078839</c:v>
                </c:pt>
                <c:pt idx="755">
                  <c:v>38.210406453541154</c:v>
                </c:pt>
                <c:pt idx="756">
                  <c:v>38.750664009346345</c:v>
                </c:pt>
                <c:pt idx="757">
                  <c:v>39.291374853399667</c:v>
                </c:pt>
                <c:pt idx="758">
                  <c:v>39.832459755679004</c:v>
                </c:pt>
                <c:pt idx="759">
                  <c:v>40.373840267121167</c:v>
                </c:pt>
                <c:pt idx="760">
                  <c:v>40.915438735228989</c:v>
                </c:pt>
                <c:pt idx="761">
                  <c:v>41.457178319108522</c:v>
                </c:pt>
                <c:pt idx="762">
                  <c:v>41.998983003937383</c:v>
                </c:pt>
                <c:pt idx="763">
                  <c:v>42.540777614864098</c:v>
                </c:pt>
                <c:pt idx="764">
                  <c:v>43.082487830340497</c:v>
                </c:pt>
                <c:pt idx="765">
                  <c:v>43.624040194888032</c:v>
                </c:pt>
                <c:pt idx="766">
                  <c:v>44.165362131300441</c:v>
                </c:pt>
                <c:pt idx="767">
                  <c:v>44.706381952284701</c:v>
                </c:pt>
                <c:pt idx="768">
                  <c:v>45.247028871543357</c:v>
                </c:pt>
                <c:pt idx="769">
                  <c:v>45.787233014300462</c:v>
                </c:pt>
                <c:pt idx="770">
                  <c:v>46.326925427275633</c:v>
                </c:pt>
                <c:pt idx="771">
                  <c:v>46.866038088108617</c:v>
                </c:pt>
                <c:pt idx="772">
                  <c:v>47.404503914239427</c:v>
                </c:pt>
                <c:pt idx="773">
                  <c:v>47.942256771247706</c:v>
                </c:pt>
                <c:pt idx="774">
                  <c:v>48.479231480656054</c:v>
                </c:pt>
                <c:pt idx="775">
                  <c:v>49.015363827202648</c:v>
                </c:pt>
                <c:pt idx="776">
                  <c:v>49.550590565587449</c:v>
                </c:pt>
                <c:pt idx="777">
                  <c:v>50.084849426698327</c:v>
                </c:pt>
                <c:pt idx="778">
                  <c:v>50.618079123322438</c:v>
                </c:pt>
                <c:pt idx="779">
                  <c:v>51.150219355348455</c:v>
                </c:pt>
                <c:pt idx="780">
                  <c:v>51.681210814466588</c:v>
                </c:pt>
                <c:pt idx="781">
                  <c:v>52.210995188372117</c:v>
                </c:pt>
                <c:pt idx="782">
                  <c:v>52.739515164479542</c:v>
                </c:pt>
                <c:pt idx="783">
                  <c:v>53.266714433153872</c:v>
                </c:pt>
                <c:pt idx="784">
                  <c:v>53.792537690466204</c:v>
                </c:pt>
                <c:pt idx="785">
                  <c:v>54.316930640481139</c:v>
                </c:pt>
                <c:pt idx="786">
                  <c:v>54.839839997082485</c:v>
                </c:pt>
                <c:pt idx="787">
                  <c:v>55.361213485346312</c:v>
                </c:pt>
                <c:pt idx="788">
                  <c:v>55.880999842467425</c:v>
                </c:pt>
                <c:pt idx="789">
                  <c:v>56.399148818248385</c:v>
                </c:pt>
                <c:pt idx="790">
                  <c:v>56.915611175158524</c:v>
                </c:pt>
                <c:pt idx="791">
                  <c:v>57.430338687971172</c:v>
                </c:pt>
                <c:pt idx="792">
                  <c:v>57.943284142987231</c:v>
                </c:pt>
                <c:pt idx="793">
                  <c:v>58.454401336853827</c:v>
                </c:pt>
                <c:pt idx="794">
                  <c:v>58.963645074985919</c:v>
                </c:pt>
                <c:pt idx="795">
                  <c:v>59.470971169600048</c:v>
                </c:pt>
                <c:pt idx="796">
                  <c:v>59.976336437368332</c:v>
                </c:pt>
                <c:pt idx="797">
                  <c:v>60.479698696701561</c:v>
                </c:pt>
                <c:pt idx="798">
                  <c:v>60.981016764670379</c:v>
                </c:pt>
                <c:pt idx="799">
                  <c:v>61.480250453572857</c:v>
                </c:pt>
                <c:pt idx="800">
                  <c:v>61.977360567157959</c:v>
                </c:pt>
                <c:pt idx="801">
                  <c:v>62.472308896512978</c:v>
                </c:pt>
                <c:pt idx="802">
                  <c:v>62.965058215624893</c:v>
                </c:pt>
                <c:pt idx="803">
                  <c:v>63.455572276623428</c:v>
                </c:pt>
                <c:pt idx="804">
                  <c:v>63.943815804715712</c:v>
                </c:pt>
                <c:pt idx="805">
                  <c:v>64.429754492820948</c:v>
                </c:pt>
                <c:pt idx="806">
                  <c:v>64.913354995914133</c:v>
                </c:pt>
                <c:pt idx="807">
                  <c:v>65.394584925088182</c:v>
                </c:pt>
                <c:pt idx="808">
                  <c:v>65.873412841342429</c:v>
                </c:pt>
                <c:pt idx="809">
                  <c:v>66.349808249107681</c:v>
                </c:pt>
                <c:pt idx="810">
                  <c:v>66.823741589515393</c:v>
                </c:pt>
                <c:pt idx="811">
                  <c:v>67.295184233420983</c:v>
                </c:pt>
                <c:pt idx="812">
                  <c:v>67.764108474188902</c:v>
                </c:pt>
                <c:pt idx="813">
                  <c:v>68.230487520249454</c:v>
                </c:pt>
                <c:pt idx="814">
                  <c:v>68.694295487434815</c:v>
                </c:pt>
                <c:pt idx="815">
                  <c:v>69.155507391103683</c:v>
                </c:pt>
                <c:pt idx="816">
                  <c:v>69.614099138063182</c:v>
                </c:pt>
                <c:pt idx="817">
                  <c:v>70.070047518295596</c:v>
                </c:pt>
                <c:pt idx="818">
                  <c:v>70.523330196499444</c:v>
                </c:pt>
                <c:pt idx="819">
                  <c:v>70.973925703452608</c:v>
                </c:pt>
                <c:pt idx="820">
                  <c:v>71.421813427205933</c:v>
                </c:pt>
                <c:pt idx="821">
                  <c:v>71.866973604115188</c:v>
                </c:pt>
                <c:pt idx="822">
                  <c:v>72.309387309720108</c:v>
                </c:pt>
                <c:pt idx="823">
                  <c:v>72.749036449477629</c:v>
                </c:pt>
                <c:pt idx="824">
                  <c:v>73.18590374935782</c:v>
                </c:pt>
                <c:pt idx="825">
                  <c:v>73.619972746310211</c:v>
                </c:pt>
                <c:pt idx="826">
                  <c:v>74.051227778607739</c:v>
                </c:pt>
                <c:pt idx="827">
                  <c:v>74.479653976076278</c:v>
                </c:pt>
                <c:pt idx="828">
                  <c:v>74.905237250217141</c:v>
                </c:pt>
                <c:pt idx="829">
                  <c:v>75.327964284229623</c:v>
                </c:pt>
                <c:pt idx="830">
                  <c:v>75.747822522941092</c:v>
                </c:pt>
                <c:pt idx="831">
                  <c:v>76.164800162651375</c:v>
                </c:pt>
                <c:pt idx="832">
                  <c:v>76.578886140898661</c:v>
                </c:pt>
                <c:pt idx="833">
                  <c:v>76.990070126153881</c:v>
                </c:pt>
                <c:pt idx="834">
                  <c:v>77.398342507449513</c:v>
                </c:pt>
                <c:pt idx="835">
                  <c:v>77.803694383950443</c:v>
                </c:pt>
                <c:pt idx="836">
                  <c:v>78.206117554472485</c:v>
                </c:pt>
                <c:pt idx="837">
                  <c:v>78.605604506955231</c:v>
                </c:pt>
                <c:pt idx="838">
                  <c:v>79.002148407895461</c:v>
                </c:pt>
                <c:pt idx="839">
                  <c:v>79.395743091746823</c:v>
                </c:pt>
                <c:pt idx="840">
                  <c:v>79.786383050292372</c:v>
                </c:pt>
                <c:pt idx="841">
                  <c:v>80.174063421994603</c:v>
                </c:pt>
                <c:pt idx="842">
                  <c:v>80.558779981330204</c:v>
                </c:pt>
                <c:pt idx="843">
                  <c:v>80.940529128113113</c:v>
                </c:pt>
                <c:pt idx="844">
                  <c:v>81.319307876813184</c:v>
                </c:pt>
                <c:pt idx="845">
                  <c:v>81.695113845874232</c:v>
                </c:pt>
                <c:pt idx="846">
                  <c:v>82.0679452470375</c:v>
                </c:pt>
                <c:pt idx="847">
                  <c:v>82.437800874674707</c:v>
                </c:pt>
                <c:pt idx="848">
                  <c:v>82.80468009513595</c:v>
                </c:pt>
                <c:pt idx="849">
                  <c:v>83.168582836117864</c:v>
                </c:pt>
                <c:pt idx="850">
                  <c:v>83.529509576054508</c:v>
                </c:pt>
                <c:pt idx="851">
                  <c:v>83.887461333537985</c:v>
                </c:pt>
                <c:pt idx="852">
                  <c:v>84.24243965677114</c:v>
                </c:pt>
                <c:pt idx="853">
                  <c:v>84.594446613057073</c:v>
                </c:pt>
                <c:pt idx="854">
                  <c:v>84.943484778330344</c:v>
                </c:pt>
                <c:pt idx="855">
                  <c:v>85.289557226731986</c:v>
                </c:pt>
                <c:pt idx="856">
                  <c:v>85.63266752023398</c:v>
                </c:pt>
                <c:pt idx="857">
                  <c:v>85.972819698315121</c:v>
                </c:pt>
                <c:pt idx="858">
                  <c:v>86.310018267693536</c:v>
                </c:pt>
                <c:pt idx="859">
                  <c:v>86.644268192117394</c:v>
                </c:pt>
                <c:pt idx="860">
                  <c:v>86.975574882218439</c:v>
                </c:pt>
                <c:pt idx="861">
                  <c:v>87.303944185430765</c:v>
                </c:pt>
                <c:pt idx="862">
                  <c:v>87.629382375978423</c:v>
                </c:pt>
                <c:pt idx="863">
                  <c:v>87.951896144933613</c:v>
                </c:pt>
                <c:pt idx="864">
                  <c:v>88.271492590349879</c:v>
                </c:pt>
                <c:pt idx="865">
                  <c:v>88.588179207471327</c:v>
                </c:pt>
                <c:pt idx="866">
                  <c:v>88.901963879021523</c:v>
                </c:pt>
                <c:pt idx="867">
                  <c:v>89.212854865573689</c:v>
                </c:pt>
                <c:pt idx="868">
                  <c:v>89.520860796005522</c:v>
                </c:pt>
                <c:pt idx="869">
                  <c:v>89.825990658039416</c:v>
                </c:pt>
                <c:pt idx="870">
                  <c:v>90.128253788871504</c:v>
                </c:pt>
                <c:pt idx="871">
                  <c:v>90.427659865890433</c:v>
                </c:pt>
                <c:pt idx="872">
                  <c:v>90.724218897488996</c:v>
                </c:pt>
                <c:pt idx="873">
                  <c:v>91.017941213968484</c:v>
                </c:pt>
                <c:pt idx="874">
                  <c:v>91.308837458539827</c:v>
                </c:pt>
                <c:pt idx="875">
                  <c:v>91.596918578420571</c:v>
                </c:pt>
                <c:pt idx="876">
                  <c:v>91.882195816031299</c:v>
                </c:pt>
                <c:pt idx="877">
                  <c:v>92.164680700291754</c:v>
                </c:pt>
                <c:pt idx="878">
                  <c:v>92.444385038017657</c:v>
                </c:pt>
                <c:pt idx="879">
                  <c:v>92.721320905420583</c:v>
                </c:pt>
                <c:pt idx="880">
                  <c:v>92.721594678200717</c:v>
                </c:pt>
                <c:pt idx="881">
                  <c:v>92.721868448256558</c:v>
                </c:pt>
                <c:pt idx="882">
                  <c:v>92.722142215588221</c:v>
                </c:pt>
                <c:pt idx="883">
                  <c:v>92.722415980195521</c:v>
                </c:pt>
                <c:pt idx="884">
                  <c:v>92.7226897420786</c:v>
                </c:pt>
                <c:pt idx="885">
                  <c:v>92.722963501237558</c:v>
                </c:pt>
                <c:pt idx="886">
                  <c:v>92.723237257672267</c:v>
                </c:pt>
                <c:pt idx="887">
                  <c:v>92.723511011382712</c:v>
                </c:pt>
                <c:pt idx="888">
                  <c:v>92.723784762369021</c:v>
                </c:pt>
                <c:pt idx="889">
                  <c:v>92.72405851063121</c:v>
                </c:pt>
                <c:pt idx="890">
                  <c:v>92.724332256169149</c:v>
                </c:pt>
                <c:pt idx="891">
                  <c:v>92.72460599898298</c:v>
                </c:pt>
                <c:pt idx="892">
                  <c:v>92.724879739072662</c:v>
                </c:pt>
                <c:pt idx="893">
                  <c:v>92.725153476438194</c:v>
                </c:pt>
                <c:pt idx="894">
                  <c:v>92.725427211079662</c:v>
                </c:pt>
                <c:pt idx="895">
                  <c:v>92.725700942996994</c:v>
                </c:pt>
                <c:pt idx="896">
                  <c:v>92.725974672190233</c:v>
                </c:pt>
                <c:pt idx="897">
                  <c:v>92.726248398659465</c:v>
                </c:pt>
                <c:pt idx="898">
                  <c:v>92.726522122404575</c:v>
                </c:pt>
                <c:pt idx="899">
                  <c:v>92.726795843425677</c:v>
                </c:pt>
                <c:pt idx="900">
                  <c:v>92.727069561722757</c:v>
                </c:pt>
                <c:pt idx="901">
                  <c:v>92.727343277295773</c:v>
                </c:pt>
                <c:pt idx="902">
                  <c:v>92.727616990144796</c:v>
                </c:pt>
                <c:pt idx="903">
                  <c:v>92.727890700269796</c:v>
                </c:pt>
                <c:pt idx="904">
                  <c:v>92.728164407670789</c:v>
                </c:pt>
                <c:pt idx="905">
                  <c:v>92.728438112347817</c:v>
                </c:pt>
                <c:pt idx="906">
                  <c:v>92.72871181430088</c:v>
                </c:pt>
                <c:pt idx="907">
                  <c:v>92.728985513530048</c:v>
                </c:pt>
                <c:pt idx="908">
                  <c:v>92.729259210035224</c:v>
                </c:pt>
                <c:pt idx="909">
                  <c:v>92.729532903816448</c:v>
                </c:pt>
                <c:pt idx="910">
                  <c:v>92.729806594873807</c:v>
                </c:pt>
                <c:pt idx="911">
                  <c:v>92.730080283207229</c:v>
                </c:pt>
                <c:pt idx="912">
                  <c:v>92.730353968816758</c:v>
                </c:pt>
                <c:pt idx="913">
                  <c:v>92.730627651702463</c:v>
                </c:pt>
                <c:pt idx="914">
                  <c:v>92.73090133186426</c:v>
                </c:pt>
                <c:pt idx="915">
                  <c:v>92.731175009302234</c:v>
                </c:pt>
                <c:pt idx="916">
                  <c:v>92.731448684016343</c:v>
                </c:pt>
                <c:pt idx="917">
                  <c:v>92.731722356006628</c:v>
                </c:pt>
                <c:pt idx="918">
                  <c:v>92.731996025273105</c:v>
                </c:pt>
                <c:pt idx="919">
                  <c:v>92.732269691815773</c:v>
                </c:pt>
                <c:pt idx="920">
                  <c:v>92.732543355634689</c:v>
                </c:pt>
                <c:pt idx="921">
                  <c:v>92.732817016729754</c:v>
                </c:pt>
                <c:pt idx="922">
                  <c:v>92.73309067510111</c:v>
                </c:pt>
                <c:pt idx="923">
                  <c:v>92.733364330748685</c:v>
                </c:pt>
                <c:pt idx="924">
                  <c:v>92.733637983672551</c:v>
                </c:pt>
                <c:pt idx="925">
                  <c:v>92.733911633872665</c:v>
                </c:pt>
                <c:pt idx="926">
                  <c:v>92.734185281349056</c:v>
                </c:pt>
                <c:pt idx="927">
                  <c:v>92.734458926101752</c:v>
                </c:pt>
                <c:pt idx="928">
                  <c:v>92.734732568130781</c:v>
                </c:pt>
                <c:pt idx="929">
                  <c:v>92.735006207436115</c:v>
                </c:pt>
                <c:pt idx="930">
                  <c:v>92.735279844017811</c:v>
                </c:pt>
                <c:pt idx="931">
                  <c:v>92.735553477875811</c:v>
                </c:pt>
                <c:pt idx="932">
                  <c:v>92.735827109010174</c:v>
                </c:pt>
                <c:pt idx="933">
                  <c:v>92.736100737420912</c:v>
                </c:pt>
                <c:pt idx="934">
                  <c:v>92.736374363107984</c:v>
                </c:pt>
                <c:pt idx="935">
                  <c:v>92.736647986071532</c:v>
                </c:pt>
                <c:pt idx="936">
                  <c:v>92.736921606311469</c:v>
                </c:pt>
                <c:pt idx="937">
                  <c:v>92.73719522382774</c:v>
                </c:pt>
                <c:pt idx="938">
                  <c:v>92.737468838620529</c:v>
                </c:pt>
                <c:pt idx="939">
                  <c:v>92.737742450689737</c:v>
                </c:pt>
                <c:pt idx="940">
                  <c:v>92.738016060035449</c:v>
                </c:pt>
                <c:pt idx="941">
                  <c:v>92.738289666657579</c:v>
                </c:pt>
                <c:pt idx="942">
                  <c:v>92.73856327055617</c:v>
                </c:pt>
                <c:pt idx="943">
                  <c:v>92.738836871731323</c:v>
                </c:pt>
                <c:pt idx="944">
                  <c:v>92.739110470182908</c:v>
                </c:pt>
                <c:pt idx="945">
                  <c:v>92.73938406591104</c:v>
                </c:pt>
                <c:pt idx="946">
                  <c:v>92.739657658915647</c:v>
                </c:pt>
                <c:pt idx="947">
                  <c:v>92.739931249196886</c:v>
                </c:pt>
                <c:pt idx="948">
                  <c:v>92.740204836754657</c:v>
                </c:pt>
                <c:pt idx="949">
                  <c:v>92.740478421588975</c:v>
                </c:pt>
                <c:pt idx="950">
                  <c:v>92.740752003699924</c:v>
                </c:pt>
                <c:pt idx="951">
                  <c:v>92.741025583087392</c:v>
                </c:pt>
                <c:pt idx="952">
                  <c:v>92.741299159751563</c:v>
                </c:pt>
                <c:pt idx="953">
                  <c:v>92.741572733692266</c:v>
                </c:pt>
                <c:pt idx="954">
                  <c:v>92.741846304909586</c:v>
                </c:pt>
                <c:pt idx="955">
                  <c:v>92.742119873403595</c:v>
                </c:pt>
                <c:pt idx="956">
                  <c:v>92.742393439174251</c:v>
                </c:pt>
                <c:pt idx="957">
                  <c:v>92.742667002221509</c:v>
                </c:pt>
                <c:pt idx="958">
                  <c:v>92.742940562545527</c:v>
                </c:pt>
                <c:pt idx="959">
                  <c:v>92.74321412014622</c:v>
                </c:pt>
                <c:pt idx="960">
                  <c:v>92.743487675023601</c:v>
                </c:pt>
                <c:pt idx="961">
                  <c:v>92.743761227177757</c:v>
                </c:pt>
                <c:pt idx="962">
                  <c:v>92.744034776608601</c:v>
                </c:pt>
                <c:pt idx="963">
                  <c:v>92.744308323316147</c:v>
                </c:pt>
                <c:pt idx="964">
                  <c:v>92.744581867300496</c:v>
                </c:pt>
                <c:pt idx="965">
                  <c:v>92.744855408561548</c:v>
                </c:pt>
                <c:pt idx="966">
                  <c:v>92.745128947099388</c:v>
                </c:pt>
                <c:pt idx="967">
                  <c:v>92.745402482914088</c:v>
                </c:pt>
                <c:pt idx="968">
                  <c:v>92.745676016005532</c:v>
                </c:pt>
                <c:pt idx="969">
                  <c:v>92.745949546373836</c:v>
                </c:pt>
                <c:pt idx="970">
                  <c:v>92.7462230740189</c:v>
                </c:pt>
                <c:pt idx="971">
                  <c:v>92.746496598940837</c:v>
                </c:pt>
                <c:pt idx="972">
                  <c:v>92.746770121139633</c:v>
                </c:pt>
                <c:pt idx="973">
                  <c:v>92.74704364061526</c:v>
                </c:pt>
                <c:pt idx="974">
                  <c:v>92.747317157367831</c:v>
                </c:pt>
                <c:pt idx="975">
                  <c:v>92.747590671397248</c:v>
                </c:pt>
                <c:pt idx="976">
                  <c:v>92.747864182703566</c:v>
                </c:pt>
                <c:pt idx="977">
                  <c:v>92.748137691286757</c:v>
                </c:pt>
                <c:pt idx="978">
                  <c:v>92.748411197146964</c:v>
                </c:pt>
                <c:pt idx="979">
                  <c:v>92.748684700284059</c:v>
                </c:pt>
                <c:pt idx="980">
                  <c:v>92.748958200698112</c:v>
                </c:pt>
                <c:pt idx="981">
                  <c:v>92.749231698389139</c:v>
                </c:pt>
                <c:pt idx="982">
                  <c:v>92.749505193357095</c:v>
                </c:pt>
                <c:pt idx="983">
                  <c:v>92.749778685602109</c:v>
                </c:pt>
                <c:pt idx="984">
                  <c:v>92.750052175124097</c:v>
                </c:pt>
                <c:pt idx="985">
                  <c:v>92.750325661923057</c:v>
                </c:pt>
                <c:pt idx="986">
                  <c:v>92.750599145999075</c:v>
                </c:pt>
                <c:pt idx="987">
                  <c:v>92.750872627352095</c:v>
                </c:pt>
                <c:pt idx="988">
                  <c:v>92.751146105982187</c:v>
                </c:pt>
                <c:pt idx="989">
                  <c:v>92.751419581889337</c:v>
                </c:pt>
                <c:pt idx="990">
                  <c:v>92.751693055073616</c:v>
                </c:pt>
                <c:pt idx="991">
                  <c:v>92.751966525534897</c:v>
                </c:pt>
                <c:pt idx="992">
                  <c:v>92.752239993273321</c:v>
                </c:pt>
                <c:pt idx="993">
                  <c:v>92.752513458288803</c:v>
                </c:pt>
                <c:pt idx="994">
                  <c:v>92.752786920581457</c:v>
                </c:pt>
                <c:pt idx="995">
                  <c:v>92.753060380151283</c:v>
                </c:pt>
                <c:pt idx="996">
                  <c:v>92.753333836998181</c:v>
                </c:pt>
                <c:pt idx="997">
                  <c:v>92.753607291122293</c:v>
                </c:pt>
                <c:pt idx="998">
                  <c:v>92.753880742523521</c:v>
                </c:pt>
                <c:pt idx="999">
                  <c:v>92.754154191202005</c:v>
                </c:pt>
                <c:pt idx="1000">
                  <c:v>92.75442763715769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3-7045-93AD-06357D4BE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997744"/>
        <c:axId val="1"/>
      </c:scatterChart>
      <c:valAx>
        <c:axId val="9289977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Forces [N]</a:t>
                </a:r>
              </a:p>
            </c:rich>
          </c:tx>
          <c:layout>
            <c:manualLayout>
              <c:xMode val="edge"/>
              <c:yMode val="edge"/>
              <c:x val="2.0047169811320754E-2"/>
              <c:y val="0.333334383202099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928997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56931973537896"/>
          <c:y val="0.34616601298281663"/>
          <c:w val="0.12046826702267209"/>
          <c:h val="0.2222300330260057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Courbes!$B$140</c:f>
          <c:strCache>
            <c:ptCount val="1"/>
            <c:pt idx="0">
              <c:v>Vitesse</c:v>
            </c:pt>
          </c:strCache>
        </c:strRef>
      </c:tx>
      <c:overlay val="1"/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495283018867926"/>
          <c:y val="9.4771544282144501E-2"/>
          <c:w val="0.87617924528302105"/>
          <c:h val="0.74183243282920064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Courbes!$B$140</c:f>
              <c:strCache>
                <c:ptCount val="1"/>
                <c:pt idx="0">
                  <c:v>Vitesse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Calculs!$I$4:$I$1004</c:f>
              <c:numCache>
                <c:formatCode>0.00</c:formatCode>
                <c:ptCount val="1001"/>
                <c:pt idx="0">
                  <c:v>0</c:v>
                </c:pt>
                <c:pt idx="1">
                  <c:v>7.3897037759595025E-2</c:v>
                </c:pt>
                <c:pt idx="2">
                  <c:v>0.33714014229919509</c:v>
                </c:pt>
                <c:pt idx="3">
                  <c:v>0.67897367509073669</c:v>
                </c:pt>
                <c:pt idx="4">
                  <c:v>1.0994516644882428</c:v>
                </c:pt>
                <c:pt idx="5">
                  <c:v>1.5986368080030051</c:v>
                </c:pt>
                <c:pt idx="6">
                  <c:v>2.1766003447998838</c:v>
                </c:pt>
                <c:pt idx="7">
                  <c:v>2.8334219308238922</c:v>
                </c:pt>
                <c:pt idx="8">
                  <c:v>3.5691895164107184</c:v>
                </c:pt>
                <c:pt idx="9">
                  <c:v>4.3839992262386183</c:v>
                </c:pt>
                <c:pt idx="10">
                  <c:v>5.277955241482533</c:v>
                </c:pt>
                <c:pt idx="11">
                  <c:v>6.2059494374524427</c:v>
                </c:pt>
                <c:pt idx="12">
                  <c:v>7.1227834103596077</c:v>
                </c:pt>
                <c:pt idx="13">
                  <c:v>8.0280892381960758</c:v>
                </c:pt>
                <c:pt idx="14">
                  <c:v>8.9214987563479067</c:v>
                </c:pt>
                <c:pt idx="15">
                  <c:v>9.8029882502053045</c:v>
                </c:pt>
                <c:pt idx="16">
                  <c:v>10.672534454768623</c:v>
                </c:pt>
                <c:pt idx="17">
                  <c:v>11.530114553565598</c:v>
                </c:pt>
                <c:pt idx="18">
                  <c:v>12.375706177496454</c:v>
                </c:pt>
                <c:pt idx="19">
                  <c:v>13.209287403607608</c:v>
                </c:pt>
                <c:pt idx="20">
                  <c:v>14.030836753794576</c:v>
                </c:pt>
                <c:pt idx="21">
                  <c:v>14.840333193434864</c:v>
                </c:pt>
                <c:pt idx="22">
                  <c:v>15.637756129951496</c:v>
                </c:pt>
                <c:pt idx="23">
                  <c:v>16.423085411307937</c:v>
                </c:pt>
                <c:pt idx="24">
                  <c:v>17.196301324435133</c:v>
                </c:pt>
                <c:pt idx="25">
                  <c:v>17.957384593591428</c:v>
                </c:pt>
                <c:pt idx="26">
                  <c:v>18.706316378656155</c:v>
                </c:pt>
                <c:pt idx="27">
                  <c:v>19.44915187517185</c:v>
                </c:pt>
                <c:pt idx="28">
                  <c:v>20.191955815200544</c:v>
                </c:pt>
                <c:pt idx="29">
                  <c:v>20.934723525798429</c:v>
                </c:pt>
                <c:pt idx="30">
                  <c:v>21.677450330042792</c:v>
                </c:pt>
                <c:pt idx="31">
                  <c:v>22.420131547164182</c:v>
                </c:pt>
                <c:pt idx="32">
                  <c:v>23.162762492678898</c:v>
                </c:pt>
                <c:pt idx="33">
                  <c:v>23.905338478521806</c:v>
                </c:pt>
                <c:pt idx="34">
                  <c:v>24.647854813179482</c:v>
                </c:pt>
                <c:pt idx="35">
                  <c:v>25.390306801823666</c:v>
                </c:pt>
                <c:pt idx="36">
                  <c:v>26.132691104688732</c:v>
                </c:pt>
                <c:pt idx="37">
                  <c:v>26.875004436024312</c:v>
                </c:pt>
                <c:pt idx="38">
                  <c:v>27.61724203542127</c:v>
                </c:pt>
                <c:pt idx="39">
                  <c:v>28.359399142245607</c:v>
                </c:pt>
                <c:pt idx="40">
                  <c:v>29.101470995581394</c:v>
                </c:pt>
                <c:pt idx="41">
                  <c:v>29.843452834200846</c:v>
                </c:pt>
                <c:pt idx="42">
                  <c:v>30.58533989654984</c:v>
                </c:pt>
                <c:pt idx="43">
                  <c:v>31.327127420747235</c:v>
                </c:pt>
                <c:pt idx="44">
                  <c:v>32.068810644596333</c:v>
                </c:pt>
                <c:pt idx="45">
                  <c:v>32.810384805607356</c:v>
                </c:pt>
                <c:pt idx="46">
                  <c:v>33.551845141029617</c:v>
                </c:pt>
                <c:pt idx="47">
                  <c:v>34.293186887892531</c:v>
                </c:pt>
                <c:pt idx="48">
                  <c:v>35.034405283054447</c:v>
                </c:pt>
                <c:pt idx="49">
                  <c:v>35.775495563258637</c:v>
                </c:pt>
                <c:pt idx="50">
                  <c:v>36.516452965195739</c:v>
                </c:pt>
                <c:pt idx="51">
                  <c:v>37.257272725571966</c:v>
                </c:pt>
                <c:pt idx="52">
                  <c:v>37.99795008118268</c:v>
                </c:pt>
                <c:pt idx="53">
                  <c:v>38.738480268990735</c:v>
                </c:pt>
                <c:pt idx="54">
                  <c:v>39.47885852620918</c:v>
                </c:pt>
                <c:pt idx="55">
                  <c:v>40.21908009038804</c:v>
                </c:pt>
                <c:pt idx="56">
                  <c:v>40.959140199504674</c:v>
                </c:pt>
                <c:pt idx="57">
                  <c:v>41.699034092057516</c:v>
                </c:pt>
                <c:pt idx="58">
                  <c:v>42.438757007162927</c:v>
                </c:pt>
                <c:pt idx="59">
                  <c:v>43.178304184654792</c:v>
                </c:pt>
                <c:pt idx="60">
                  <c:v>43.917670865186736</c:v>
                </c:pt>
                <c:pt idx="61">
                  <c:v>44.656852290336758</c:v>
                </c:pt>
                <c:pt idx="62">
                  <c:v>45.395843702714018</c:v>
                </c:pt>
                <c:pt idx="63">
                  <c:v>46.134640346067656</c:v>
                </c:pt>
                <c:pt idx="64">
                  <c:v>46.873237465397516</c:v>
                </c:pt>
                <c:pt idx="65">
                  <c:v>47.611630307066562</c:v>
                </c:pt>
                <c:pt idx="66">
                  <c:v>48.349814118914857</c:v>
                </c:pt>
                <c:pt idx="67">
                  <c:v>49.087784150375107</c:v>
                </c:pt>
                <c:pt idx="68">
                  <c:v>49.82553565258948</c:v>
                </c:pt>
                <c:pt idx="69">
                  <c:v>50.563063878527743</c:v>
                </c:pt>
                <c:pt idx="70">
                  <c:v>51.300364083106544</c:v>
                </c:pt>
                <c:pt idx="71">
                  <c:v>52.037431523309728</c:v>
                </c:pt>
                <c:pt idx="72">
                  <c:v>52.774192064126126</c:v>
                </c:pt>
                <c:pt idx="73">
                  <c:v>53.51057148636373</c:v>
                </c:pt>
                <c:pt idx="74">
                  <c:v>54.246564941466794</c:v>
                </c:pt>
                <c:pt idx="75">
                  <c:v>54.982167586048327</c:v>
                </c:pt>
                <c:pt idx="76">
                  <c:v>55.717374582019261</c:v>
                </c:pt>
                <c:pt idx="77">
                  <c:v>56.45218109671827</c:v>
                </c:pt>
                <c:pt idx="78">
                  <c:v>57.186582303041867</c:v>
                </c:pt>
                <c:pt idx="79">
                  <c:v>57.920573379575124</c:v>
                </c:pt>
                <c:pt idx="80">
                  <c:v>58.654149510722583</c:v>
                </c:pt>
                <c:pt idx="81">
                  <c:v>59.387305886839599</c:v>
                </c:pt>
                <c:pt idx="82">
                  <c:v>60.120037704363959</c:v>
                </c:pt>
                <c:pt idx="83">
                  <c:v>60.852340165947666</c:v>
                </c:pt>
                <c:pt idx="84">
                  <c:v>61.584208480589027</c:v>
                </c:pt>
                <c:pt idx="85">
                  <c:v>62.315637863764806</c:v>
                </c:pt>
                <c:pt idx="86">
                  <c:v>63.046623537562603</c:v>
                </c:pt>
                <c:pt idx="87">
                  <c:v>63.777160730813236</c:v>
                </c:pt>
                <c:pt idx="88">
                  <c:v>64.507244679223263</c:v>
                </c:pt>
                <c:pt idx="89">
                  <c:v>65.236870625507535</c:v>
                </c:pt>
                <c:pt idx="90">
                  <c:v>65.966033819521684</c:v>
                </c:pt>
                <c:pt idx="91">
                  <c:v>66.694729518394709</c:v>
                </c:pt>
                <c:pt idx="92">
                  <c:v>67.422952986661414</c:v>
                </c:pt>
                <c:pt idx="93">
                  <c:v>68.150699496394822</c:v>
                </c:pt>
                <c:pt idx="94">
                  <c:v>68.877964327338532</c:v>
                </c:pt>
                <c:pt idx="95">
                  <c:v>69.604742767038857</c:v>
                </c:pt>
                <c:pt idx="96">
                  <c:v>70.331030110976968</c:v>
                </c:pt>
                <c:pt idx="97">
                  <c:v>71.056821662700727</c:v>
                </c:pt>
                <c:pt idx="98">
                  <c:v>71.782112733956495</c:v>
                </c:pt>
                <c:pt idx="99">
                  <c:v>72.506898644820566</c:v>
                </c:pt>
                <c:pt idx="100">
                  <c:v>73.231174723830563</c:v>
                </c:pt>
                <c:pt idx="101">
                  <c:v>73.95493630811653</c:v>
                </c:pt>
                <c:pt idx="102">
                  <c:v>74.67817874353166</c:v>
                </c:pt>
                <c:pt idx="103">
                  <c:v>75.400897384782922</c:v>
                </c:pt>
                <c:pt idx="104">
                  <c:v>76.12308759556133</c:v>
                </c:pt>
                <c:pt idx="105">
                  <c:v>76.844744748671886</c:v>
                </c:pt>
                <c:pt idx="106">
                  <c:v>77.565864226163271</c:v>
                </c:pt>
                <c:pt idx="107">
                  <c:v>78.286441419457049</c:v>
                </c:pt>
                <c:pt idx="108">
                  <c:v>79.0064717294768</c:v>
                </c:pt>
                <c:pt idx="109">
                  <c:v>79.725950566776589</c:v>
                </c:pt>
                <c:pt idx="110">
                  <c:v>80.444873351669216</c:v>
                </c:pt>
                <c:pt idx="111">
                  <c:v>81.163235514354099</c:v>
                </c:pt>
                <c:pt idx="112">
                  <c:v>81.881032495044664</c:v>
                </c:pt>
                <c:pt idx="113">
                  <c:v>82.598259744095401</c:v>
                </c:pt>
                <c:pt idx="114">
                  <c:v>83.314912722128355</c:v>
                </c:pt>
                <c:pt idx="115">
                  <c:v>84.030986900159405</c:v>
                </c:pt>
                <c:pt idx="116">
                  <c:v>84.746477759723817</c:v>
                </c:pt>
                <c:pt idx="117">
                  <c:v>85.461380793001581</c:v>
                </c:pt>
                <c:pt idx="118">
                  <c:v>86.175691502942058</c:v>
                </c:pt>
                <c:pt idx="119">
                  <c:v>86.889405403388309</c:v>
                </c:pt>
                <c:pt idx="120">
                  <c:v>87.602518019200815</c:v>
                </c:pt>
                <c:pt idx="121">
                  <c:v>88.315024886380712</c:v>
                </c:pt>
                <c:pt idx="122">
                  <c:v>89.026921552192547</c:v>
                </c:pt>
                <c:pt idx="123">
                  <c:v>89.738203575286434</c:v>
                </c:pt>
                <c:pt idx="124">
                  <c:v>90.44886652581971</c:v>
                </c:pt>
                <c:pt idx="125">
                  <c:v>91.158905985578073</c:v>
                </c:pt>
                <c:pt idx="126">
                  <c:v>91.86831754809603</c:v>
                </c:pt>
                <c:pt idx="127">
                  <c:v>92.577096818776894</c:v>
                </c:pt>
                <c:pt idx="128">
                  <c:v>93.285239415012185</c:v>
                </c:pt>
                <c:pt idx="129">
                  <c:v>93.992421043338382</c:v>
                </c:pt>
                <c:pt idx="130">
                  <c:v>94.698317146393009</c:v>
                </c:pt>
                <c:pt idx="131">
                  <c:v>95.402923104176324</c:v>
                </c:pt>
                <c:pt idx="132">
                  <c:v>96.106234322092689</c:v>
                </c:pt>
                <c:pt idx="133">
                  <c:v>96.808246231053133</c:v>
                </c:pt>
                <c:pt idx="134">
                  <c:v>97.508954287576699</c:v>
                </c:pt>
                <c:pt idx="135">
                  <c:v>98.208353973890212</c:v>
                </c:pt>
                <c:pt idx="136">
                  <c:v>98.90644079802658</c:v>
                </c:pt>
                <c:pt idx="137">
                  <c:v>99.603210293921563</c:v>
                </c:pt>
                <c:pt idx="138">
                  <c:v>100.29865802150904</c:v>
                </c:pt>
                <c:pt idx="139">
                  <c:v>100.99277956681472</c:v>
                </c:pt>
                <c:pt idx="140">
                  <c:v>101.68557054204847</c:v>
                </c:pt>
                <c:pt idx="141">
                  <c:v>102.37702658569496</c:v>
                </c:pt>
                <c:pt idx="142">
                  <c:v>103.06714336260283</c:v>
                </c:pt>
                <c:pt idx="143">
                  <c:v>103.75591656407239</c:v>
                </c:pt>
                <c:pt idx="144">
                  <c:v>104.44334190794173</c:v>
                </c:pt>
                <c:pt idx="145">
                  <c:v>105.12941513867123</c:v>
                </c:pt>
                <c:pt idx="146">
                  <c:v>105.81413202742667</c:v>
                </c:pt>
                <c:pt idx="147">
                  <c:v>106.49748837216066</c:v>
                </c:pt>
                <c:pt idx="148">
                  <c:v>107.17947999769262</c:v>
                </c:pt>
                <c:pt idx="149">
                  <c:v>107.86010275578715</c:v>
                </c:pt>
                <c:pt idx="150">
                  <c:v>108.53935252523083</c:v>
                </c:pt>
                <c:pt idx="151">
                  <c:v>109.21722521190753</c:v>
                </c:pt>
                <c:pt idx="152">
                  <c:v>109.89371674887214</c:v>
                </c:pt>
                <c:pt idx="153">
                  <c:v>110.56882309642265</c:v>
                </c:pt>
                <c:pt idx="154">
                  <c:v>111.24254024217083</c:v>
                </c:pt>
                <c:pt idx="155">
                  <c:v>111.91486420111126</c:v>
                </c:pt>
                <c:pt idx="156">
                  <c:v>112.5857910156887</c:v>
                </c:pt>
                <c:pt idx="157">
                  <c:v>113.25531675586411</c:v>
                </c:pt>
                <c:pt idx="158">
                  <c:v>113.92343751917888</c:v>
                </c:pt>
                <c:pt idx="159">
                  <c:v>114.59014943081763</c:v>
                </c:pt>
                <c:pt idx="160">
                  <c:v>115.25544864366948</c:v>
                </c:pt>
                <c:pt idx="161">
                  <c:v>115.91933133838756</c:v>
                </c:pt>
                <c:pt idx="162">
                  <c:v>116.58179372344715</c:v>
                </c:pt>
                <c:pt idx="163">
                  <c:v>117.24283203520214</c:v>
                </c:pt>
                <c:pt idx="164">
                  <c:v>117.90244253793995</c:v>
                </c:pt>
                <c:pt idx="165">
                  <c:v>118.56062152393493</c:v>
                </c:pt>
                <c:pt idx="166">
                  <c:v>119.21736531350007</c:v>
                </c:pt>
                <c:pt idx="167">
                  <c:v>119.87267025503725</c:v>
                </c:pt>
                <c:pt idx="168">
                  <c:v>120.52653272508596</c:v>
                </c:pt>
                <c:pt idx="169">
                  <c:v>121.17894912837029</c:v>
                </c:pt>
                <c:pt idx="170">
                  <c:v>121.82991589784454</c:v>
                </c:pt>
                <c:pt idx="171">
                  <c:v>122.47942949473708</c:v>
                </c:pt>
                <c:pt idx="172">
                  <c:v>123.12748640859284</c:v>
                </c:pt>
                <c:pt idx="173">
                  <c:v>123.77408315731415</c:v>
                </c:pt>
                <c:pt idx="174">
                  <c:v>124.41921628719997</c:v>
                </c:pt>
                <c:pt idx="175">
                  <c:v>125.06288237298364</c:v>
                </c:pt>
                <c:pt idx="176">
                  <c:v>125.7050780178691</c:v>
                </c:pt>
                <c:pt idx="177">
                  <c:v>126.34579985356545</c:v>
                </c:pt>
                <c:pt idx="178">
                  <c:v>126.98504454032008</c:v>
                </c:pt>
                <c:pt idx="179">
                  <c:v>127.62280876695016</c:v>
                </c:pt>
                <c:pt idx="180">
                  <c:v>128.25908925087265</c:v>
                </c:pt>
                <c:pt idx="181">
                  <c:v>128.8938827381327</c:v>
                </c:pt>
                <c:pt idx="182">
                  <c:v>129.52718600343073</c:v>
                </c:pt>
                <c:pt idx="183">
                  <c:v>130.15899585014753</c:v>
                </c:pt>
                <c:pt idx="184">
                  <c:v>130.78930911036841</c:v>
                </c:pt>
                <c:pt idx="185">
                  <c:v>131.41812264490517</c:v>
                </c:pt>
                <c:pt idx="186">
                  <c:v>132.04543334331726</c:v>
                </c:pt>
                <c:pt idx="187">
                  <c:v>132.67123812393086</c:v>
                </c:pt>
                <c:pt idx="188">
                  <c:v>133.29553393385663</c:v>
                </c:pt>
                <c:pt idx="189">
                  <c:v>133.91831774900606</c:v>
                </c:pt>
                <c:pt idx="190">
                  <c:v>134.53958657410612</c:v>
                </c:pt>
                <c:pt idx="191">
                  <c:v>135.15933744271248</c:v>
                </c:pt>
                <c:pt idx="192">
                  <c:v>135.77756741722143</c:v>
                </c:pt>
                <c:pt idx="193">
                  <c:v>136.39427358887988</c:v>
                </c:pt>
                <c:pt idx="194">
                  <c:v>137.00945307779438</c:v>
                </c:pt>
                <c:pt idx="195">
                  <c:v>137.62310303293813</c:v>
                </c:pt>
                <c:pt idx="196">
                  <c:v>138.23522063215694</c:v>
                </c:pt>
                <c:pt idx="197">
                  <c:v>138.8458030821736</c:v>
                </c:pt>
                <c:pt idx="198">
                  <c:v>139.45484761859052</c:v>
                </c:pt>
                <c:pt idx="199">
                  <c:v>140.06235150589137</c:v>
                </c:pt>
                <c:pt idx="200">
                  <c:v>140.66831203744078</c:v>
                </c:pt>
                <c:pt idx="201">
                  <c:v>141.272726535483</c:v>
                </c:pt>
                <c:pt idx="202">
                  <c:v>141.87559235113886</c:v>
                </c:pt>
                <c:pt idx="203">
                  <c:v>142.47690686440131</c:v>
                </c:pt>
                <c:pt idx="204">
                  <c:v>143.07666748412973</c:v>
                </c:pt>
                <c:pt idx="205">
                  <c:v>143.6748716480424</c:v>
                </c:pt>
                <c:pt idx="206">
                  <c:v>144.27143880486048</c:v>
                </c:pt>
                <c:pt idx="207">
                  <c:v>144.86628841174752</c:v>
                </c:pt>
                <c:pt idx="208">
                  <c:v>145.45941801531256</c:v>
                </c:pt>
                <c:pt idx="209">
                  <c:v>146.05082519396572</c:v>
                </c:pt>
                <c:pt idx="210">
                  <c:v>146.64050755788901</c:v>
                </c:pt>
                <c:pt idx="211">
                  <c:v>147.22846274900604</c:v>
                </c:pt>
                <c:pt idx="212">
                  <c:v>147.81468844094999</c:v>
                </c:pt>
                <c:pt idx="213">
                  <c:v>148.39918233903009</c:v>
                </c:pt>
                <c:pt idx="214">
                  <c:v>148.98194218019674</c:v>
                </c:pt>
                <c:pt idx="215">
                  <c:v>149.56296573300475</c:v>
                </c:pt>
                <c:pt idx="216">
                  <c:v>150.14225079757551</c:v>
                </c:pt>
                <c:pt idx="217">
                  <c:v>150.71979520555746</c:v>
                </c:pt>
                <c:pt idx="218">
                  <c:v>151.29559682008494</c:v>
                </c:pt>
                <c:pt idx="219">
                  <c:v>151.86965353573589</c:v>
                </c:pt>
                <c:pt idx="220">
                  <c:v>152.44196327848789</c:v>
                </c:pt>
                <c:pt idx="221">
                  <c:v>153.01252400567267</c:v>
                </c:pt>
                <c:pt idx="222">
                  <c:v>153.58133370592952</c:v>
                </c:pt>
                <c:pt idx="223">
                  <c:v>154.1483903991568</c:v>
                </c:pt>
                <c:pt idx="224">
                  <c:v>154.71369213646247</c:v>
                </c:pt>
                <c:pt idx="225">
                  <c:v>155.27723700011288</c:v>
                </c:pt>
                <c:pt idx="226">
                  <c:v>155.83902310348037</c:v>
                </c:pt>
                <c:pt idx="227">
                  <c:v>156.39904859098942</c:v>
                </c:pt>
                <c:pt idx="228">
                  <c:v>156.95731163806136</c:v>
                </c:pt>
                <c:pt idx="229">
                  <c:v>157.51381045105779</c:v>
                </c:pt>
                <c:pt idx="230">
                  <c:v>158.06854326722259</c:v>
                </c:pt>
                <c:pt idx="231">
                  <c:v>158.62150835462265</c:v>
                </c:pt>
                <c:pt idx="232">
                  <c:v>159.17270401208711</c:v>
                </c:pt>
                <c:pt idx="233">
                  <c:v>159.72212856914555</c:v>
                </c:pt>
                <c:pt idx="234">
                  <c:v>160.26978038596468</c:v>
                </c:pt>
                <c:pt idx="235">
                  <c:v>160.81565785328354</c:v>
                </c:pt>
                <c:pt idx="236">
                  <c:v>161.35975939234791</c:v>
                </c:pt>
                <c:pt idx="237">
                  <c:v>161.90208345484291</c:v>
                </c:pt>
                <c:pt idx="238">
                  <c:v>162.44262852282466</c:v>
                </c:pt>
                <c:pt idx="239">
                  <c:v>162.98139310865071</c:v>
                </c:pt>
                <c:pt idx="240">
                  <c:v>163.51837575490887</c:v>
                </c:pt>
                <c:pt idx="241">
                  <c:v>164.05357503434516</c:v>
                </c:pt>
                <c:pt idx="242">
                  <c:v>164.58671972092748</c:v>
                </c:pt>
                <c:pt idx="243">
                  <c:v>165.11753862232408</c:v>
                </c:pt>
                <c:pt idx="244">
                  <c:v>165.64603061733621</c:v>
                </c:pt>
                <c:pt idx="245">
                  <c:v>166.17219462455381</c:v>
                </c:pt>
                <c:pt idx="246">
                  <c:v>166.69602960220698</c:v>
                </c:pt>
                <c:pt idx="247">
                  <c:v>167.21753454801592</c:v>
                </c:pt>
                <c:pt idx="248">
                  <c:v>167.73670849903914</c:v>
                </c:pt>
                <c:pt idx="249">
                  <c:v>168.25355053152032</c:v>
                </c:pt>
                <c:pt idx="250">
                  <c:v>168.76805976073359</c:v>
                </c:pt>
                <c:pt idx="251">
                  <c:v>169.28023534082757</c:v>
                </c:pt>
                <c:pt idx="252">
                  <c:v>169.79007646466746</c:v>
                </c:pt>
                <c:pt idx="253">
                  <c:v>170.29758236367627</c:v>
                </c:pt>
                <c:pt idx="254">
                  <c:v>170.80275230767421</c:v>
                </c:pt>
                <c:pt idx="255">
                  <c:v>171.30558560471707</c:v>
                </c:pt>
                <c:pt idx="256">
                  <c:v>171.80608160093286</c:v>
                </c:pt>
                <c:pt idx="257">
                  <c:v>172.30423968035737</c:v>
                </c:pt>
                <c:pt idx="258">
                  <c:v>172.80005926476835</c:v>
                </c:pt>
                <c:pt idx="259">
                  <c:v>173.29353981351827</c:v>
                </c:pt>
                <c:pt idx="260">
                  <c:v>173.78468082336602</c:v>
                </c:pt>
                <c:pt idx="261">
                  <c:v>174.27348182830718</c:v>
                </c:pt>
                <c:pt idx="262">
                  <c:v>174.75994239940306</c:v>
                </c:pt>
                <c:pt idx="263">
                  <c:v>175.24406214460865</c:v>
                </c:pt>
                <c:pt idx="264">
                  <c:v>175.72584070859926</c:v>
                </c:pt>
                <c:pt idx="265">
                  <c:v>176.20527777259608</c:v>
                </c:pt>
                <c:pt idx="266">
                  <c:v>176.68237305419041</c:v>
                </c:pt>
                <c:pt idx="267">
                  <c:v>177.15712630716709</c:v>
                </c:pt>
                <c:pt idx="268">
                  <c:v>177.62953732132635</c:v>
                </c:pt>
                <c:pt idx="269">
                  <c:v>178.09960592230513</c:v>
                </c:pt>
                <c:pt idx="270">
                  <c:v>178.56733197139692</c:v>
                </c:pt>
                <c:pt idx="271">
                  <c:v>179.03271536537054</c:v>
                </c:pt>
                <c:pt idx="272">
                  <c:v>179.4957560362883</c:v>
                </c:pt>
                <c:pt idx="273">
                  <c:v>179.95645395132274</c:v>
                </c:pt>
                <c:pt idx="274">
                  <c:v>180.41480911257256</c:v>
                </c:pt>
                <c:pt idx="275">
                  <c:v>180.87082155687762</c:v>
                </c:pt>
                <c:pt idx="276">
                  <c:v>181.32449135563286</c:v>
                </c:pt>
                <c:pt idx="277">
                  <c:v>181.77581861460146</c:v>
                </c:pt>
                <c:pt idx="278">
                  <c:v>182.22480347372706</c:v>
                </c:pt>
                <c:pt idx="279">
                  <c:v>182.67144610694496</c:v>
                </c:pt>
                <c:pt idx="280">
                  <c:v>183.11574672199271</c:v>
                </c:pt>
                <c:pt idx="281">
                  <c:v>183.55770556021957</c:v>
                </c:pt>
                <c:pt idx="282">
                  <c:v>183.9973228963955</c:v>
                </c:pt>
                <c:pt idx="283">
                  <c:v>184.43459903851902</c:v>
                </c:pt>
                <c:pt idx="284">
                  <c:v>184.86985127876889</c:v>
                </c:pt>
                <c:pt idx="285">
                  <c:v>185.30339683030047</c:v>
                </c:pt>
                <c:pt idx="286">
                  <c:v>185.73523565294477</c:v>
                </c:pt>
                <c:pt idx="287">
                  <c:v>186.16536772930164</c:v>
                </c:pt>
                <c:pt idx="288">
                  <c:v>186.59379306463345</c:v>
                </c:pt>
                <c:pt idx="289">
                  <c:v>187.02051168675851</c:v>
                </c:pt>
                <c:pt idx="290">
                  <c:v>187.44552364594369</c:v>
                </c:pt>
                <c:pt idx="291">
                  <c:v>187.86882901479686</c:v>
                </c:pt>
                <c:pt idx="292">
                  <c:v>188.29042788815835</c:v>
                </c:pt>
                <c:pt idx="293">
                  <c:v>188.71032038299251</c:v>
                </c:pt>
                <c:pt idx="294">
                  <c:v>189.1285066382784</c:v>
                </c:pt>
                <c:pt idx="295">
                  <c:v>189.54498681490003</c:v>
                </c:pt>
                <c:pt idx="296">
                  <c:v>189.95976109553646</c:v>
                </c:pt>
                <c:pt idx="297">
                  <c:v>190.37282968455116</c:v>
                </c:pt>
                <c:pt idx="298">
                  <c:v>190.78419280788094</c:v>
                </c:pt>
                <c:pt idx="299">
                  <c:v>191.19385071292464</c:v>
                </c:pt>
                <c:pt idx="300">
                  <c:v>191.60180366843133</c:v>
                </c:pt>
                <c:pt idx="301">
                  <c:v>192.00805196438807</c:v>
                </c:pt>
                <c:pt idx="302">
                  <c:v>192.41259591190726</c:v>
                </c:pt>
                <c:pt idx="303">
                  <c:v>192.81543584311362</c:v>
                </c:pt>
                <c:pt idx="304">
                  <c:v>193.21657211103101</c:v>
                </c:pt>
                <c:pt idx="305">
                  <c:v>193.61600508946847</c:v>
                </c:pt>
                <c:pt idx="306">
                  <c:v>194.01373517290622</c:v>
                </c:pt>
                <c:pt idx="307">
                  <c:v>194.40976277638137</c:v>
                </c:pt>
                <c:pt idx="308">
                  <c:v>194.80408833537288</c:v>
                </c:pt>
                <c:pt idx="309">
                  <c:v>195.19671230568682</c:v>
                </c:pt>
                <c:pt idx="310">
                  <c:v>195.58763516334056</c:v>
                </c:pt>
                <c:pt idx="311">
                  <c:v>195.97685740444746</c:v>
                </c:pt>
                <c:pt idx="312">
                  <c:v>196.3643795451006</c:v>
                </c:pt>
                <c:pt idx="313">
                  <c:v>196.75020212125662</c:v>
                </c:pt>
                <c:pt idx="314">
                  <c:v>197.13432568861907</c:v>
                </c:pt>
                <c:pt idx="315">
                  <c:v>197.5167508225216</c:v>
                </c:pt>
                <c:pt idx="316">
                  <c:v>197.89747811781092</c:v>
                </c:pt>
                <c:pt idx="317">
                  <c:v>198.27650818872931</c:v>
                </c:pt>
                <c:pt idx="318">
                  <c:v>198.65384166879721</c:v>
                </c:pt>
                <c:pt idx="319">
                  <c:v>199.02947921069531</c:v>
                </c:pt>
                <c:pt idx="320">
                  <c:v>199.40342148614644</c:v>
                </c:pt>
                <c:pt idx="321">
                  <c:v>199.77566918579737</c:v>
                </c:pt>
                <c:pt idx="322">
                  <c:v>200.14622301910046</c:v>
                </c:pt>
                <c:pt idx="323">
                  <c:v>200.51508371419476</c:v>
                </c:pt>
                <c:pt idx="324">
                  <c:v>200.88225201778741</c:v>
                </c:pt>
                <c:pt idx="325">
                  <c:v>201.24772869503437</c:v>
                </c:pt>
                <c:pt idx="326">
                  <c:v>201.61153400744968</c:v>
                </c:pt>
                <c:pt idx="327">
                  <c:v>201.97368822289647</c:v>
                </c:pt>
                <c:pt idx="328">
                  <c:v>202.33419212462158</c:v>
                </c:pt>
                <c:pt idx="329">
                  <c:v>202.69304651338004</c:v>
                </c:pt>
                <c:pt idx="330">
                  <c:v>203.05025220732028</c:v>
                </c:pt>
                <c:pt idx="331">
                  <c:v>203.40581004186924</c:v>
                </c:pt>
                <c:pt idx="332">
                  <c:v>203.75972086961701</c:v>
                </c:pt>
                <c:pt idx="333">
                  <c:v>204.11198556020179</c:v>
                </c:pt>
                <c:pt idx="334">
                  <c:v>204.46260500019426</c:v>
                </c:pt>
                <c:pt idx="335">
                  <c:v>204.81158009298252</c:v>
                </c:pt>
                <c:pt idx="336">
                  <c:v>205.15891175865619</c:v>
                </c:pt>
                <c:pt idx="337">
                  <c:v>205.50460093389094</c:v>
                </c:pt>
                <c:pt idx="338">
                  <c:v>205.84864857183271</c:v>
                </c:pt>
                <c:pt idx="339">
                  <c:v>206.19105564198205</c:v>
                </c:pt>
                <c:pt idx="340">
                  <c:v>206.53182313007832</c:v>
                </c:pt>
                <c:pt idx="341">
                  <c:v>206.87095203798361</c:v>
                </c:pt>
                <c:pt idx="342">
                  <c:v>207.20844338356704</c:v>
                </c:pt>
                <c:pt idx="343">
                  <c:v>207.54429820058863</c:v>
                </c:pt>
                <c:pt idx="344">
                  <c:v>207.87851753858345</c:v>
                </c:pt>
                <c:pt idx="345">
                  <c:v>208.21110246274557</c:v>
                </c:pt>
                <c:pt idx="346">
                  <c:v>208.54205405381197</c:v>
                </c:pt>
                <c:pt idx="347">
                  <c:v>208.87137340794669</c:v>
                </c:pt>
                <c:pt idx="348">
                  <c:v>209.19906163662452</c:v>
                </c:pt>
                <c:pt idx="349">
                  <c:v>209.5251198665153</c:v>
                </c:pt>
                <c:pt idx="350">
                  <c:v>209.84954923936763</c:v>
                </c:pt>
                <c:pt idx="351">
                  <c:v>210.17235091189312</c:v>
                </c:pt>
                <c:pt idx="352">
                  <c:v>210.49352605565025</c:v>
                </c:pt>
                <c:pt idx="353">
                  <c:v>210.81307585692855</c:v>
                </c:pt>
                <c:pt idx="354">
                  <c:v>211.13100151663269</c:v>
                </c:pt>
                <c:pt idx="355">
                  <c:v>211.44730425016667</c:v>
                </c:pt>
                <c:pt idx="356">
                  <c:v>211.76198528731803</c:v>
                </c:pt>
                <c:pt idx="357">
                  <c:v>212.07504587214214</c:v>
                </c:pt>
                <c:pt idx="358">
                  <c:v>212.38648726284646</c:v>
                </c:pt>
                <c:pt idx="359">
                  <c:v>212.69631073167517</c:v>
                </c:pt>
                <c:pt idx="360">
                  <c:v>213.00451756479356</c:v>
                </c:pt>
                <c:pt idx="361">
                  <c:v>213.31110906217256</c:v>
                </c:pt>
                <c:pt idx="362">
                  <c:v>213.61608653747365</c:v>
                </c:pt>
                <c:pt idx="363">
                  <c:v>213.91945131793338</c:v>
                </c:pt>
                <c:pt idx="364">
                  <c:v>214.22120474424841</c:v>
                </c:pt>
                <c:pt idx="365">
                  <c:v>214.5213481704607</c:v>
                </c:pt>
                <c:pt idx="366">
                  <c:v>214.82037687838258</c:v>
                </c:pt>
                <c:pt idx="367">
                  <c:v>215.11878575544506</c:v>
                </c:pt>
                <c:pt idx="368">
                  <c:v>215.41657507661711</c:v>
                </c:pt>
                <c:pt idx="369">
                  <c:v>215.71374512177488</c:v>
                </c:pt>
                <c:pt idx="370">
                  <c:v>216.0102961756786</c:v>
                </c:pt>
                <c:pt idx="371">
                  <c:v>216.30622852794946</c:v>
                </c:pt>
                <c:pt idx="372">
                  <c:v>216.60154247304632</c:v>
                </c:pt>
                <c:pt idx="373">
                  <c:v>216.89623831024286</c:v>
                </c:pt>
                <c:pt idx="374">
                  <c:v>217.19031634360397</c:v>
                </c:pt>
                <c:pt idx="375">
                  <c:v>217.48377688196294</c:v>
                </c:pt>
                <c:pt idx="376">
                  <c:v>217.77662023889789</c:v>
                </c:pt>
                <c:pt idx="377">
                  <c:v>218.06884673270869</c:v>
                </c:pt>
                <c:pt idx="378">
                  <c:v>218.36045668639369</c:v>
                </c:pt>
                <c:pt idx="379">
                  <c:v>218.65145042762629</c:v>
                </c:pt>
                <c:pt idx="380">
                  <c:v>218.94182828873178</c:v>
                </c:pt>
                <c:pt idx="381">
                  <c:v>219.23105747343149</c:v>
                </c:pt>
                <c:pt idx="382">
                  <c:v>219.51860565523762</c:v>
                </c:pt>
                <c:pt idx="383">
                  <c:v>219.80447443775083</c:v>
                </c:pt>
                <c:pt idx="384">
                  <c:v>220.08866543743264</c:v>
                </c:pt>
                <c:pt idx="385">
                  <c:v>220.37118028348104</c:v>
                </c:pt>
                <c:pt idx="386">
                  <c:v>220.65202061770623</c:v>
                </c:pt>
                <c:pt idx="387">
                  <c:v>220.93118809440665</c:v>
                </c:pt>
                <c:pt idx="388">
                  <c:v>221.20868438024505</c:v>
                </c:pt>
                <c:pt idx="389">
                  <c:v>221.48451115412499</c:v>
                </c:pt>
                <c:pt idx="390">
                  <c:v>221.75867010706759</c:v>
                </c:pt>
                <c:pt idx="391">
                  <c:v>222.03116294208837</c:v>
                </c:pt>
                <c:pt idx="392">
                  <c:v>222.30199137407459</c:v>
                </c:pt>
                <c:pt idx="393">
                  <c:v>222.57115712966248</c:v>
                </c:pt>
                <c:pt idx="394">
                  <c:v>222.83866194711521</c:v>
                </c:pt>
                <c:pt idx="395">
                  <c:v>223.10450757620063</c:v>
                </c:pt>
                <c:pt idx="396">
                  <c:v>223.36869577806988</c:v>
                </c:pt>
                <c:pt idx="397">
                  <c:v>223.63122832513554</c:v>
                </c:pt>
                <c:pt idx="398">
                  <c:v>223.89210700095083</c:v>
                </c:pt>
                <c:pt idx="399">
                  <c:v>224.15133360008855</c:v>
                </c:pt>
                <c:pt idx="400">
                  <c:v>224.40890992802056</c:v>
                </c:pt>
                <c:pt idx="401">
                  <c:v>224.66441931252953</c:v>
                </c:pt>
                <c:pt idx="402">
                  <c:v>224.91744550153655</c:v>
                </c:pt>
                <c:pt idx="403">
                  <c:v>225.16799139907894</c:v>
                </c:pt>
                <c:pt idx="404">
                  <c:v>225.41605992743601</c:v>
                </c:pt>
                <c:pt idx="405">
                  <c:v>225.66165402688273</c:v>
                </c:pt>
                <c:pt idx="406">
                  <c:v>225.90477665544412</c:v>
                </c:pt>
                <c:pt idx="407">
                  <c:v>226.14543078865046</c:v>
                </c:pt>
                <c:pt idx="408">
                  <c:v>226.38361941929341</c:v>
                </c:pt>
                <c:pt idx="409">
                  <c:v>226.61934555718275</c:v>
                </c:pt>
                <c:pt idx="410">
                  <c:v>226.85261222890395</c:v>
                </c:pt>
                <c:pt idx="411">
                  <c:v>227.08111270563185</c:v>
                </c:pt>
                <c:pt idx="412">
                  <c:v>227.30254271285534</c:v>
                </c:pt>
                <c:pt idx="413">
                  <c:v>227.51691153311299</c:v>
                </c:pt>
                <c:pt idx="414">
                  <c:v>227.724228540545</c:v>
                </c:pt>
                <c:pt idx="415">
                  <c:v>227.92450319915176</c:v>
                </c:pt>
                <c:pt idx="416">
                  <c:v>228.11774506105866</c:v>
                </c:pt>
                <c:pt idx="417">
                  <c:v>228.30396376478711</c:v>
                </c:pt>
                <c:pt idx="418">
                  <c:v>228.48316903353222</c:v>
                </c:pt>
                <c:pt idx="419">
                  <c:v>228.65537067344661</c:v>
                </c:pt>
                <c:pt idx="420">
                  <c:v>228.81926597303789</c:v>
                </c:pt>
                <c:pt idx="421">
                  <c:v>228.97355388749398</c:v>
                </c:pt>
                <c:pt idx="422">
                  <c:v>229.11824831960615</c:v>
                </c:pt>
                <c:pt idx="423">
                  <c:v>229.25336331343868</c:v>
                </c:pt>
                <c:pt idx="424">
                  <c:v>229.37891305118717</c:v>
                </c:pt>
                <c:pt idx="425">
                  <c:v>229.49491185004976</c:v>
                </c:pt>
                <c:pt idx="426">
                  <c:v>229.60137415911115</c:v>
                </c:pt>
                <c:pt idx="427">
                  <c:v>229.69831455624015</c:v>
                </c:pt>
                <c:pt idx="428">
                  <c:v>229.78574774500089</c:v>
                </c:pt>
                <c:pt idx="429">
                  <c:v>229.86368855157835</c:v>
                </c:pt>
                <c:pt idx="430">
                  <c:v>229.93215192171809</c:v>
                </c:pt>
                <c:pt idx="431">
                  <c:v>229.99115291768081</c:v>
                </c:pt>
                <c:pt idx="432">
                  <c:v>230.03859414031785</c:v>
                </c:pt>
                <c:pt idx="433">
                  <c:v>230.072381385303</c:v>
                </c:pt>
                <c:pt idx="434">
                  <c:v>230.09253708266135</c:v>
                </c:pt>
                <c:pt idx="435">
                  <c:v>230.09908389735511</c:v>
                </c:pt>
                <c:pt idx="436">
                  <c:v>230.09204472303659</c:v>
                </c:pt>
                <c:pt idx="437">
                  <c:v>230.07144267583055</c:v>
                </c:pt>
                <c:pt idx="438">
                  <c:v>230.0373010881477</c:v>
                </c:pt>
                <c:pt idx="439">
                  <c:v>229.98964350252905</c:v>
                </c:pt>
                <c:pt idx="440">
                  <c:v>229.92849366552286</c:v>
                </c:pt>
                <c:pt idx="441">
                  <c:v>229.8538755215948</c:v>
                </c:pt>
                <c:pt idx="442">
                  <c:v>229.76709520776038</c:v>
                </c:pt>
                <c:pt idx="443">
                  <c:v>229.66945682714473</c:v>
                </c:pt>
                <c:pt idx="444">
                  <c:v>229.56098009604125</c:v>
                </c:pt>
                <c:pt idx="445">
                  <c:v>229.44168483120154</c:v>
                </c:pt>
                <c:pt idx="446">
                  <c:v>229.31159094601801</c:v>
                </c:pt>
                <c:pt idx="447">
                  <c:v>229.17071844673259</c:v>
                </c:pt>
                <c:pt idx="448">
                  <c:v>229.01908742867212</c:v>
                </c:pt>
                <c:pt idx="449">
                  <c:v>228.85671807251003</c:v>
                </c:pt>
                <c:pt idx="450">
                  <c:v>228.68363064055586</c:v>
                </c:pt>
                <c:pt idx="451">
                  <c:v>228.49984547307133</c:v>
                </c:pt>
                <c:pt idx="452">
                  <c:v>228.30538298461437</c:v>
                </c:pt>
                <c:pt idx="453">
                  <c:v>228.10209826646278</c:v>
                </c:pt>
                <c:pt idx="454">
                  <c:v>227.89184291541631</c:v>
                </c:pt>
                <c:pt idx="455">
                  <c:v>227.6746301733148</c:v>
                </c:pt>
                <c:pt idx="456">
                  <c:v>227.45047328484236</c:v>
                </c:pt>
                <c:pt idx="457">
                  <c:v>227.21938549612386</c:v>
                </c:pt>
                <c:pt idx="458">
                  <c:v>226.98138005333368</c:v>
                </c:pt>
                <c:pt idx="459">
                  <c:v>226.73647020131747</c:v>
                </c:pt>
                <c:pt idx="460">
                  <c:v>226.48466918222684</c:v>
                </c:pt>
                <c:pt idx="461">
                  <c:v>226.22764073438671</c:v>
                </c:pt>
                <c:pt idx="462">
                  <c:v>225.96704525222597</c:v>
                </c:pt>
                <c:pt idx="463">
                  <c:v>225.70288917239637</c:v>
                </c:pt>
                <c:pt idx="464">
                  <c:v>225.43517891155295</c:v>
                </c:pt>
                <c:pt idx="465">
                  <c:v>225.16392086608803</c:v>
                </c:pt>
                <c:pt idx="466">
                  <c:v>224.8877350380794</c:v>
                </c:pt>
                <c:pt idx="467">
                  <c:v>224.60524424736673</c:v>
                </c:pt>
                <c:pt idx="468">
                  <c:v>224.30102211753842</c:v>
                </c:pt>
                <c:pt idx="469">
                  <c:v>223.97856758064628</c:v>
                </c:pt>
                <c:pt idx="470">
                  <c:v>223.65681052645917</c:v>
                </c:pt>
                <c:pt idx="471">
                  <c:v>223.33574826031142</c:v>
                </c:pt>
                <c:pt idx="472">
                  <c:v>223.015378101414</c:v>
                </c:pt>
                <c:pt idx="473">
                  <c:v>222.69569738276462</c:v>
                </c:pt>
                <c:pt idx="474">
                  <c:v>222.37670345105818</c:v>
                </c:pt>
                <c:pt idx="475">
                  <c:v>222.05839366659839</c:v>
                </c:pt>
                <c:pt idx="476">
                  <c:v>221.74076540320976</c:v>
                </c:pt>
                <c:pt idx="477">
                  <c:v>221.42381604815034</c:v>
                </c:pt>
                <c:pt idx="478">
                  <c:v>221.10754300202512</c:v>
                </c:pt>
                <c:pt idx="479">
                  <c:v>220.79194367870031</c:v>
                </c:pt>
                <c:pt idx="480">
                  <c:v>220.47701550521785</c:v>
                </c:pt>
                <c:pt idx="481">
                  <c:v>220.16275592171112</c:v>
                </c:pt>
                <c:pt idx="482">
                  <c:v>219.84916238132081</c:v>
                </c:pt>
                <c:pt idx="483">
                  <c:v>219.53623235011179</c:v>
                </c:pt>
                <c:pt idx="484">
                  <c:v>219.22396330699041</c:v>
                </c:pt>
                <c:pt idx="485">
                  <c:v>218.91235274362262</c:v>
                </c:pt>
                <c:pt idx="486">
                  <c:v>218.60139816435245</c:v>
                </c:pt>
                <c:pt idx="487">
                  <c:v>218.29109708612137</c:v>
                </c:pt>
                <c:pt idx="488">
                  <c:v>217.98144703838827</c:v>
                </c:pt>
                <c:pt idx="489">
                  <c:v>217.67244556304979</c:v>
                </c:pt>
                <c:pt idx="490">
                  <c:v>217.36409021436151</c:v>
                </c:pt>
                <c:pt idx="491">
                  <c:v>217.05637855885973</c:v>
                </c:pt>
                <c:pt idx="492">
                  <c:v>216.7493081752836</c:v>
                </c:pt>
                <c:pt idx="493">
                  <c:v>216.44287665449821</c:v>
                </c:pt>
                <c:pt idx="494">
                  <c:v>216.137081599418</c:v>
                </c:pt>
                <c:pt idx="495">
                  <c:v>215.83192062493075</c:v>
                </c:pt>
                <c:pt idx="496">
                  <c:v>215.52739135782232</c:v>
                </c:pt>
                <c:pt idx="497">
                  <c:v>215.22349143670198</c:v>
                </c:pt>
                <c:pt idx="498">
                  <c:v>214.92021851192789</c:v>
                </c:pt>
                <c:pt idx="499">
                  <c:v>214.61757024553373</c:v>
                </c:pt>
                <c:pt idx="500">
                  <c:v>214.31554431115538</c:v>
                </c:pt>
                <c:pt idx="501">
                  <c:v>211.30151849089498</c:v>
                </c:pt>
                <c:pt idx="502">
                  <c:v>208.34876223513794</c:v>
                </c:pt>
                <c:pt idx="503">
                  <c:v>205.45503755134396</c:v>
                </c:pt>
                <c:pt idx="504">
                  <c:v>202.61821422356545</c:v>
                </c:pt>
                <c:pt idx="505">
                  <c:v>199.83626333282584</c:v>
                </c:pt>
                <c:pt idx="506">
                  <c:v>197.10725124227821</c:v>
                </c:pt>
                <c:pt idx="507">
                  <c:v>194.42933400855904</c:v>
                </c:pt>
                <c:pt idx="508">
                  <c:v>191.80075218438537</c:v>
                </c:pt>
                <c:pt idx="509">
                  <c:v>189.21982598069118</c:v>
                </c:pt>
                <c:pt idx="510">
                  <c:v>186.68495075951387</c:v>
                </c:pt>
                <c:pt idx="511">
                  <c:v>184.1945928314552</c:v>
                </c:pt>
                <c:pt idx="512">
                  <c:v>181.74728553389238</c:v>
                </c:pt>
                <c:pt idx="513">
                  <c:v>179.34162556822804</c:v>
                </c:pt>
                <c:pt idx="514">
                  <c:v>176.97626957637485</c:v>
                </c:pt>
                <c:pt idx="515">
                  <c:v>174.64993093838859</c:v>
                </c:pt>
                <c:pt idx="516">
                  <c:v>172.36137677471655</c:v>
                </c:pt>
                <c:pt idx="517">
                  <c:v>170.10942513793165</c:v>
                </c:pt>
                <c:pt idx="518">
                  <c:v>167.89294238009418</c:v>
                </c:pt>
                <c:pt idx="519">
                  <c:v>165.71084068303512</c:v>
                </c:pt>
                <c:pt idx="520">
                  <c:v>163.56207573989934</c:v>
                </c:pt>
                <c:pt idx="521">
                  <c:v>161.4456445772378</c:v>
                </c:pt>
                <c:pt idx="522">
                  <c:v>159.36058350779956</c:v>
                </c:pt>
                <c:pt idx="523">
                  <c:v>157.30596620496129</c:v>
                </c:pt>
                <c:pt idx="524">
                  <c:v>155.28090189044752</c:v>
                </c:pt>
                <c:pt idx="525">
                  <c:v>153.28453362764751</c:v>
                </c:pt>
                <c:pt idx="526">
                  <c:v>151.31603671343061</c:v>
                </c:pt>
                <c:pt idx="527">
                  <c:v>149.37461716190774</c:v>
                </c:pt>
                <c:pt idx="528">
                  <c:v>147.45951027408299</c:v>
                </c:pt>
                <c:pt idx="529">
                  <c:v>145.56997928779722</c:v>
                </c:pt>
                <c:pt idx="530">
                  <c:v>143.70531410278247</c:v>
                </c:pt>
                <c:pt idx="531">
                  <c:v>141.86483007602945</c:v>
                </c:pt>
                <c:pt idx="532">
                  <c:v>140.04786688302306</c:v>
                </c:pt>
                <c:pt idx="533">
                  <c:v>138.25378744072302</c:v>
                </c:pt>
                <c:pt idx="534">
                  <c:v>136.48197688846528</c:v>
                </c:pt>
                <c:pt idx="535">
                  <c:v>134.73184162323295</c:v>
                </c:pt>
                <c:pt idx="536">
                  <c:v>133.00280838599801</c:v>
                </c:pt>
                <c:pt idx="537">
                  <c:v>131.2943233960672</c:v>
                </c:pt>
                <c:pt idx="538">
                  <c:v>129.60585153058082</c:v>
                </c:pt>
                <c:pt idx="539">
                  <c:v>127.93687554651082</c:v>
                </c:pt>
                <c:pt idx="540">
                  <c:v>126.28689534268811</c:v>
                </c:pt>
                <c:pt idx="541">
                  <c:v>124.655427259559</c:v>
                </c:pt>
                <c:pt idx="542">
                  <c:v>123.04200341452719</c:v>
                </c:pt>
                <c:pt idx="543">
                  <c:v>121.44617107088418</c:v>
                </c:pt>
                <c:pt idx="544">
                  <c:v>119.86749203846581</c:v>
                </c:pt>
                <c:pt idx="545">
                  <c:v>118.30554210429851</c:v>
                </c:pt>
                <c:pt idx="546">
                  <c:v>116.75991049161571</c:v>
                </c:pt>
                <c:pt idx="547">
                  <c:v>115.23019934573399</c:v>
                </c:pt>
                <c:pt idx="548">
                  <c:v>113.71602324537977</c:v>
                </c:pt>
                <c:pt idx="549">
                  <c:v>112.21700873815253</c:v>
                </c:pt>
                <c:pt idx="550">
                  <c:v>110.73279389889898</c:v>
                </c:pt>
                <c:pt idx="551">
                  <c:v>109.26302790985602</c:v>
                </c:pt>
                <c:pt idx="552">
                  <c:v>107.80737066149776</c:v>
                </c:pt>
                <c:pt idx="553">
                  <c:v>106.36549237309572</c:v>
                </c:pt>
                <c:pt idx="554">
                  <c:v>104.93707323207011</c:v>
                </c:pt>
                <c:pt idx="555">
                  <c:v>103.52180305127497</c:v>
                </c:pt>
                <c:pt idx="556">
                  <c:v>102.1193809434224</c:v>
                </c:pt>
                <c:pt idx="557">
                  <c:v>100.72951501190882</c:v>
                </c:pt>
                <c:pt idx="558">
                  <c:v>99.351922057362742</c:v>
                </c:pt>
                <c:pt idx="559">
                  <c:v>97.986327299286273</c:v>
                </c:pt>
                <c:pt idx="560">
                  <c:v>96.632464112213853</c:v>
                </c:pt>
                <c:pt idx="561">
                  <c:v>95.290073775861245</c:v>
                </c:pt>
                <c:pt idx="562">
                  <c:v>93.958905238785007</c:v>
                </c:pt>
                <c:pt idx="563">
                  <c:v>92.638714895119278</c:v>
                </c:pt>
                <c:pt idx="564">
                  <c:v>91.32926637400206</c:v>
                </c:pt>
                <c:pt idx="565">
                  <c:v>90.030330341347479</c:v>
                </c:pt>
                <c:pt idx="566">
                  <c:v>88.741684313664805</c:v>
                </c:pt>
                <c:pt idx="567">
                  <c:v>87.463112483669065</c:v>
                </c:pt>
                <c:pt idx="568">
                  <c:v>86.194405557471683</c:v>
                </c:pt>
                <c:pt idx="569">
                  <c:v>84.935360603184648</c:v>
                </c:pt>
                <c:pt idx="570">
                  <c:v>83.685780910816732</c:v>
                </c:pt>
                <c:pt idx="571">
                  <c:v>82.445475863386477</c:v>
                </c:pt>
                <c:pt idx="572">
                  <c:v>81.214260819225146</c:v>
                </c:pt>
                <c:pt idx="573">
                  <c:v>79.991957005492281</c:v>
                </c:pt>
                <c:pt idx="574">
                  <c:v>78.778391422978729</c:v>
                </c:pt>
                <c:pt idx="575">
                  <c:v>77.573396762327661</c:v>
                </c:pt>
                <c:pt idx="576">
                  <c:v>76.37681133186156</c:v>
                </c:pt>
                <c:pt idx="577">
                  <c:v>75.188478997266913</c:v>
                </c:pt>
                <c:pt idx="578">
                  <c:v>74.008249133454285</c:v>
                </c:pt>
                <c:pt idx="579">
                  <c:v>72.835976588985119</c:v>
                </c:pt>
                <c:pt idx="580">
                  <c:v>71.671521663534392</c:v>
                </c:pt>
                <c:pt idx="581">
                  <c:v>70.514750098945186</c:v>
                </c:pt>
                <c:pt idx="582">
                  <c:v>69.3655330845246</c:v>
                </c:pt>
                <c:pt idx="583">
                  <c:v>68.22374727733505</c:v>
                </c:pt>
                <c:pt idx="584">
                  <c:v>67.089274838348388</c:v>
                </c:pt>
                <c:pt idx="585">
                  <c:v>65.962003485458141</c:v>
                </c:pt>
                <c:pt idx="586">
                  <c:v>64.841826564485373</c:v>
                </c:pt>
                <c:pt idx="587">
                  <c:v>63.728643139470982</c:v>
                </c:pt>
                <c:pt idx="588">
                  <c:v>62.622358103722675</c:v>
                </c:pt>
                <c:pt idx="589">
                  <c:v>61.522882313281293</c:v>
                </c:pt>
                <c:pt idx="590">
                  <c:v>60.430132744691299</c:v>
                </c:pt>
                <c:pt idx="591">
                  <c:v>59.344032679208482</c:v>
                </c:pt>
                <c:pt idx="592">
                  <c:v>58.264511915856737</c:v>
                </c:pt>
                <c:pt idx="593">
                  <c:v>57.191507016060797</c:v>
                </c:pt>
                <c:pt idx="594">
                  <c:v>56.124961582937615</c:v>
                </c:pt>
                <c:pt idx="595">
                  <c:v>55.064826578731946</c:v>
                </c:pt>
                <c:pt idx="596">
                  <c:v>54.011060684337636</c:v>
                </c:pt>
                <c:pt idx="597">
                  <c:v>52.963630705363968</c:v>
                </c:pt>
                <c:pt idx="598">
                  <c:v>51.922512029793751</c:v>
                </c:pt>
                <c:pt idx="599">
                  <c:v>50.887689142948048</c:v>
                </c:pt>
                <c:pt idx="600">
                  <c:v>49.859156206231447</c:v>
                </c:pt>
                <c:pt idx="601">
                  <c:v>48.836917706996672</c:v>
                </c:pt>
                <c:pt idx="602">
                  <c:v>47.820989187850444</c:v>
                </c:pt>
                <c:pt idx="603">
                  <c:v>46.811398064843047</c:v>
                </c:pt>
                <c:pt idx="604">
                  <c:v>45.808184545258491</c:v>
                </c:pt>
                <c:pt idx="605">
                  <c:v>44.811402657172849</c:v>
                </c:pt>
                <c:pt idx="606">
                  <c:v>43.821121404597029</c:v>
                </c:pt>
                <c:pt idx="607">
                  <c:v>42.837426063892394</c:v>
                </c:pt>
                <c:pt idx="608">
                  <c:v>41.860419639268905</c:v>
                </c:pt>
                <c:pt idx="609">
                  <c:v>40.890224497573257</c:v>
                </c:pt>
                <c:pt idx="610">
                  <c:v>39.926984205275716</c:v>
                </c:pt>
                <c:pt idx="611">
                  <c:v>38.970865593592563</c:v>
                </c:pt>
                <c:pt idx="612">
                  <c:v>38.022061081057053</c:v>
                </c:pt>
                <c:pt idx="613">
                  <c:v>37.080791286583995</c:v>
                </c:pt>
                <c:pt idx="614">
                  <c:v>36.147307970156255</c:v>
                </c:pt>
                <c:pt idx="615">
                  <c:v>35.22189734266442</c:v>
                </c:pt>
                <c:pt idx="616">
                  <c:v>34.304883791084436</c:v>
                </c:pt>
                <c:pt idx="617">
                  <c:v>33.396634069956448</c:v>
                </c:pt>
                <c:pt idx="618">
                  <c:v>32.497562014823636</c:v>
                </c:pt>
                <c:pt idx="619">
                  <c:v>31.608133837576663</c:v>
                </c:pt>
                <c:pt idx="620">
                  <c:v>30.728874067037637</c:v>
                </c:pt>
                <c:pt idx="621">
                  <c:v>29.860372199884605</c:v>
                </c:pt>
                <c:pt idx="622">
                  <c:v>29.003290126130352</c:v>
                </c:pt>
                <c:pt idx="623">
                  <c:v>28.158370388367029</c:v>
                </c:pt>
                <c:pt idx="624">
                  <c:v>27.326445322853161</c:v>
                </c:pt>
                <c:pt idx="625">
                  <c:v>26.508447110509813</c:v>
                </c:pt>
                <c:pt idx="626">
                  <c:v>25.705418733359458</c:v>
                </c:pt>
                <c:pt idx="627">
                  <c:v>24.918525782145931</c:v>
                </c:pt>
                <c:pt idx="628">
                  <c:v>24.149068987844728</c:v>
                </c:pt>
                <c:pt idx="629">
                  <c:v>23.398497246280051</c:v>
                </c:pt>
                <c:pt idx="630">
                  <c:v>22.668420762849951</c:v>
                </c:pt>
                <c:pt idx="631">
                  <c:v>21.960623754818762</c:v>
                </c:pt>
                <c:pt idx="632">
                  <c:v>21.277075904268454</c:v>
                </c:pt>
                <c:pt idx="633">
                  <c:v>20.619941451815542</c:v>
                </c:pt>
                <c:pt idx="634">
                  <c:v>19.991584463715654</c:v>
                </c:pt>
                <c:pt idx="635">
                  <c:v>19.39456841113223</c:v>
                </c:pt>
                <c:pt idx="636">
                  <c:v>18.831647810222556</c:v>
                </c:pt>
                <c:pt idx="637">
                  <c:v>18.305749355954841</c:v>
                </c:pt>
                <c:pt idx="638">
                  <c:v>17.819939848991616</c:v>
                </c:pt>
                <c:pt idx="639">
                  <c:v>17.377378407686297</c:v>
                </c:pt>
                <c:pt idx="640">
                  <c:v>16.981251141128492</c:v>
                </c:pt>
                <c:pt idx="641">
                  <c:v>16.634687781514359</c:v>
                </c:pt>
                <c:pt idx="642">
                  <c:v>16.340661799965631</c:v>
                </c:pt>
                <c:pt idx="643">
                  <c:v>16.101878160099432</c:v>
                </c:pt>
                <c:pt idx="644">
                  <c:v>15.920655763768751</c:v>
                </c:pt>
                <c:pt idx="645">
                  <c:v>15.79881423109528</c:v>
                </c:pt>
                <c:pt idx="646">
                  <c:v>15.737576195554743</c:v>
                </c:pt>
                <c:pt idx="647">
                  <c:v>15.737496107395728</c:v>
                </c:pt>
                <c:pt idx="648">
                  <c:v>15.798424286438392</c:v>
                </c:pt>
                <c:pt idx="649">
                  <c:v>15.919510867467871</c:v>
                </c:pt>
                <c:pt idx="650">
                  <c:v>16.099249139032093</c:v>
                </c:pt>
                <c:pt idx="651">
                  <c:v>16.335552745930535</c:v>
                </c:pt>
                <c:pt idx="652">
                  <c:v>16.625857425166554</c:v>
                </c:pt>
                <c:pt idx="653">
                  <c:v>16.967236078959814</c:v>
                </c:pt>
                <c:pt idx="654">
                  <c:v>17.356516164141535</c:v>
                </c:pt>
                <c:pt idx="655">
                  <c:v>17.790390173044631</c:v>
                </c:pt>
                <c:pt idx="656">
                  <c:v>18.26551268712857</c:v>
                </c:pt>
                <c:pt idx="657">
                  <c:v>18.778580378563333</c:v>
                </c:pt>
                <c:pt idx="658">
                  <c:v>19.326393875715421</c:v>
                </c:pt>
                <c:pt idx="659">
                  <c:v>19.905902307916531</c:v>
                </c:pt>
                <c:pt idx="660">
                  <c:v>20.514232540634179</c:v>
                </c:pt>
                <c:pt idx="661">
                  <c:v>21.148705690993769</c:v>
                </c:pt>
                <c:pt idx="662">
                  <c:v>21.806843630932462</c:v>
                </c:pt>
                <c:pt idx="663">
                  <c:v>22.486368004953871</c:v>
                </c:pt>
                <c:pt idx="664">
                  <c:v>23.185193950019062</c:v>
                </c:pt>
                <c:pt idx="665">
                  <c:v>23.901420307495854</c:v>
                </c:pt>
                <c:pt idx="666">
                  <c:v>24.633317725796154</c:v>
                </c:pt>
                <c:pt idx="667">
                  <c:v>25.379315702716283</c:v>
                </c:pt>
                <c:pt idx="668">
                  <c:v>26.137989323474667</c:v>
                </c:pt>
                <c:pt idx="669">
                  <c:v>26.908046216165481</c:v>
                </c:pt>
                <c:pt idx="670">
                  <c:v>27.688314065973096</c:v>
                </c:pt>
                <c:pt idx="671">
                  <c:v>28.477728895071813</c:v>
                </c:pt>
                <c:pt idx="672">
                  <c:v>29.275324217976447</c:v>
                </c:pt>
                <c:pt idx="673">
                  <c:v>30.080221114055362</c:v>
                </c:pt>
                <c:pt idx="674">
                  <c:v>30.891619212927957</c:v>
                </c:pt>
                <c:pt idx="675">
                  <c:v>31.708788558781688</c:v>
                </c:pt>
                <c:pt idx="676">
                  <c:v>32.53106230172007</c:v>
                </c:pt>
                <c:pt idx="677">
                  <c:v>33.357830154617957</c:v>
                </c:pt>
                <c:pt idx="678">
                  <c:v>34.188532550014862</c:v>
                </c:pt>
                <c:pt idx="679">
                  <c:v>35.022655431416808</c:v>
                </c:pt>
                <c:pt idx="680">
                  <c:v>35.859725615631483</c:v>
                </c:pt>
                <c:pt idx="681">
                  <c:v>36.699306666462462</c:v>
                </c:pt>
                <c:pt idx="682">
                  <c:v>37.540995224565265</c:v>
                </c:pt>
                <c:pt idx="683">
                  <c:v>38.384417743067957</c:v>
                </c:pt>
                <c:pt idx="684">
                  <c:v>39.229227583382311</c:v>
                </c:pt>
                <c:pt idx="685">
                  <c:v>40.075102430291246</c:v>
                </c:pt>
                <c:pt idx="686">
                  <c:v>40.921741989781772</c:v>
                </c:pt>
                <c:pt idx="687">
                  <c:v>41.76886593714061</c:v>
                </c:pt>
                <c:pt idx="688">
                  <c:v>42.61621208651831</c:v>
                </c:pt>
                <c:pt idx="689">
                  <c:v>43.463534756495108</c:v>
                </c:pt>
                <c:pt idx="690">
                  <c:v>44.310603309161344</c:v>
                </c:pt>
                <c:pt idx="691">
                  <c:v>45.157200842877913</c:v>
                </c:pt>
                <c:pt idx="692">
                  <c:v>46.003123021233797</c:v>
                </c:pt>
                <c:pt idx="693">
                  <c:v>46.84817702279598</c:v>
                </c:pt>
                <c:pt idx="694">
                  <c:v>47.692180598078423</c:v>
                </c:pt>
                <c:pt idx="695">
                  <c:v>48.534961221769166</c:v>
                </c:pt>
                <c:pt idx="696">
                  <c:v>49.37635532967051</c:v>
                </c:pt>
                <c:pt idx="697">
                  <c:v>50.216207631051979</c:v>
                </c:pt>
                <c:pt idx="698">
                  <c:v>51.054370488206963</c:v>
                </c:pt>
                <c:pt idx="699">
                  <c:v>51.890703355962607</c:v>
                </c:pt>
                <c:pt idx="700">
                  <c:v>52.725072274733314</c:v>
                </c:pt>
                <c:pt idx="701">
                  <c:v>53.557349411446495</c:v>
                </c:pt>
                <c:pt idx="702">
                  <c:v>54.387412643317546</c:v>
                </c:pt>
                <c:pt idx="703">
                  <c:v>55.215145180020833</c:v>
                </c:pt>
                <c:pt idx="704">
                  <c:v>56.040435220304282</c:v>
                </c:pt>
                <c:pt idx="705">
                  <c:v>56.863175639536088</c:v>
                </c:pt>
                <c:pt idx="706">
                  <c:v>57.683263705060213</c:v>
                </c:pt>
                <c:pt idx="707">
                  <c:v>58.500600816579571</c:v>
                </c:pt>
                <c:pt idx="708">
                  <c:v>59.315092269087685</c:v>
                </c:pt>
                <c:pt idx="709">
                  <c:v>60.126647036136298</c:v>
                </c:pt>
                <c:pt idx="710">
                  <c:v>60.93517757146217</c:v>
                </c:pt>
                <c:pt idx="711">
                  <c:v>61.740599627204801</c:v>
                </c:pt>
                <c:pt idx="712">
                  <c:v>62.542832087131892</c:v>
                </c:pt>
                <c:pt idx="713">
                  <c:v>63.341796813453037</c:v>
                </c:pt>
                <c:pt idx="714">
                  <c:v>64.137418505947934</c:v>
                </c:pt>
                <c:pt idx="715">
                  <c:v>64.929624572264586</c:v>
                </c:pt>
                <c:pt idx="716">
                  <c:v>65.718345008358213</c:v>
                </c:pt>
                <c:pt idx="717">
                  <c:v>66.503512288144194</c:v>
                </c:pt>
                <c:pt idx="718">
                  <c:v>67.285061261529719</c:v>
                </c:pt>
                <c:pt idx="719">
                  <c:v>68.062929060070559</c:v>
                </c:pt>
                <c:pt idx="720">
                  <c:v>68.837055009572452</c:v>
                </c:pt>
                <c:pt idx="721">
                  <c:v>69.607380549021741</c:v>
                </c:pt>
                <c:pt idx="722">
                  <c:v>70.373849155288568</c:v>
                </c:pt>
                <c:pt idx="723">
                  <c:v>71.136406273098473</c:v>
                </c:pt>
                <c:pt idx="724">
                  <c:v>71.89499924981483</c:v>
                </c:pt>
                <c:pt idx="725">
                  <c:v>72.649577274617968</c:v>
                </c:pt>
                <c:pt idx="726">
                  <c:v>73.400091321703457</c:v>
                </c:pt>
                <c:pt idx="727">
                  <c:v>74.146494097157799</c:v>
                </c:pt>
                <c:pt idx="728">
                  <c:v>74.888739989199621</c:v>
                </c:pt>
                <c:pt idx="729">
                  <c:v>75.626785021502755</c:v>
                </c:pt>
                <c:pt idx="730">
                  <c:v>76.360586809343005</c:v>
                </c:pt>
                <c:pt idx="731">
                  <c:v>77.090104518332907</c:v>
                </c:pt>
                <c:pt idx="732">
                  <c:v>77.815298825529311</c:v>
                </c:pt>
                <c:pt idx="733">
                  <c:v>78.536131882717768</c:v>
                </c:pt>
                <c:pt idx="734">
                  <c:v>79.252567281694226</c:v>
                </c:pt>
                <c:pt idx="735">
                  <c:v>79.964570021380098</c:v>
                </c:pt>
                <c:pt idx="736">
                  <c:v>80.672106476620726</c:v>
                </c:pt>
                <c:pt idx="737">
                  <c:v>81.375144368530073</c:v>
                </c:pt>
                <c:pt idx="738">
                  <c:v>82.07365273625561</c:v>
                </c:pt>
                <c:pt idx="739">
                  <c:v>82.767601910048782</c:v>
                </c:pt>
                <c:pt idx="740">
                  <c:v>83.45696348553497</c:v>
                </c:pt>
                <c:pt idx="741">
                  <c:v>84.141710299086455</c:v>
                </c:pt>
                <c:pt idx="742">
                  <c:v>84.821816404209684</c:v>
                </c:pt>
                <c:pt idx="743">
                  <c:v>85.497257048864967</c:v>
                </c:pt>
                <c:pt idx="744">
                  <c:v>86.168008653644307</c:v>
                </c:pt>
                <c:pt idx="745">
                  <c:v>86.834048790738564</c:v>
                </c:pt>
                <c:pt idx="746">
                  <c:v>87.495356163630731</c:v>
                </c:pt>
                <c:pt idx="747">
                  <c:v>88.151910587457749</c:v>
                </c:pt>
                <c:pt idx="748">
                  <c:v>88.803692969987495</c:v>
                </c:pt>
                <c:pt idx="749">
                  <c:v>89.450685293162252</c:v>
                </c:pt>
                <c:pt idx="750">
                  <c:v>90.092870595163674</c:v>
                </c:pt>
                <c:pt idx="751">
                  <c:v>90.730232952958232</c:v>
                </c:pt>
                <c:pt idx="752">
                  <c:v>91.362757465285114</c:v>
                </c:pt>
                <c:pt idx="753">
                  <c:v>91.990430236052077</c:v>
                </c:pt>
                <c:pt idx="754">
                  <c:v>92.613238358107168</c:v>
                </c:pt>
                <c:pt idx="755">
                  <c:v>93.231169897357304</c:v>
                </c:pt>
                <c:pt idx="756">
                  <c:v>93.844213877206542</c:v>
                </c:pt>
                <c:pt idx="757">
                  <c:v>94.452360263289819</c:v>
                </c:pt>
                <c:pt idx="758">
                  <c:v>95.055599948479426</c:v>
                </c:pt>
                <c:pt idx="759">
                  <c:v>95.653924738143473</c:v>
                </c:pt>
                <c:pt idx="760">
                  <c:v>96.24732733563782</c:v>
                </c:pt>
                <c:pt idx="761">
                  <c:v>96.83580132801373</c:v>
                </c:pt>
                <c:pt idx="762">
                  <c:v>97.41934117192595</c:v>
                </c:pt>
                <c:pt idx="763">
                  <c:v>97.99794217972655</c:v>
                </c:pt>
                <c:pt idx="764">
                  <c:v>98.571600505731439</c:v>
                </c:pt>
                <c:pt idx="765">
                  <c:v>99.140313132647776</c:v>
                </c:pt>
                <c:pt idx="766">
                  <c:v>99.704077858151308</c:v>
                </c:pt>
                <c:pt idx="767">
                  <c:v>100.26289328160379</c:v>
                </c:pt>
                <c:pt idx="768">
                  <c:v>100.81675879090197</c:v>
                </c:pt>
                <c:pt idx="769">
                  <c:v>101.36567454944932</c:v>
                </c:pt>
                <c:pt idx="770">
                  <c:v>101.90964148324433</c:v>
                </c:pt>
                <c:pt idx="771">
                  <c:v>102.44866126807788</c:v>
                </c:pt>
                <c:pt idx="772">
                  <c:v>102.98273631683477</c:v>
                </c:pt>
                <c:pt idx="773">
                  <c:v>103.51186976689337</c:v>
                </c:pt>
                <c:pt idx="774">
                  <c:v>104.03606546761949</c:v>
                </c:pt>
                <c:pt idx="775">
                  <c:v>104.55532796795028</c:v>
                </c:pt>
                <c:pt idx="776">
                  <c:v>105.069662504064</c:v>
                </c:pt>
                <c:pt idx="777">
                  <c:v>105.57907498713362</c:v>
                </c:pt>
                <c:pt idx="778">
                  <c:v>106.08357199116061</c:v>
                </c:pt>
                <c:pt idx="779">
                  <c:v>106.58316074088701</c:v>
                </c:pt>
                <c:pt idx="780">
                  <c:v>107.077849099784</c:v>
                </c:pt>
                <c:pt idx="781">
                  <c:v>107.56764555811513</c:v>
                </c:pt>
                <c:pt idx="782">
                  <c:v>108.05255922107295</c:v>
                </c:pt>
                <c:pt idx="783">
                  <c:v>108.53259979698799</c:v>
                </c:pt>
                <c:pt idx="784">
                  <c:v>109.00777758560953</c:v>
                </c:pt>
                <c:pt idx="785">
                  <c:v>109.47810346645721</c:v>
                </c:pt>
                <c:pt idx="786">
                  <c:v>109.94358888724354</c:v>
                </c:pt>
                <c:pt idx="787">
                  <c:v>110.40424585236701</c:v>
                </c:pt>
                <c:pt idx="788">
                  <c:v>110.86008691147576</c:v>
                </c:pt>
                <c:pt idx="789">
                  <c:v>111.31112514810209</c:v>
                </c:pt>
                <c:pt idx="790">
                  <c:v>111.75737416836812</c:v>
                </c:pt>
                <c:pt idx="791">
                  <c:v>112.1988480897631</c:v>
                </c:pt>
                <c:pt idx="792">
                  <c:v>112.63556152999298</c:v>
                </c:pt>
                <c:pt idx="793">
                  <c:v>113.06752959590264</c:v>
                </c:pt>
                <c:pt idx="794">
                  <c:v>113.49476787247194</c:v>
                </c:pt>
                <c:pt idx="795">
                  <c:v>113.91729241188625</c:v>
                </c:pt>
                <c:pt idx="796">
                  <c:v>114.33511972268239</c:v>
                </c:pt>
                <c:pt idx="797">
                  <c:v>114.74826675897086</c:v>
                </c:pt>
                <c:pt idx="798">
                  <c:v>115.15675090973559</c:v>
                </c:pt>
                <c:pt idx="799">
                  <c:v>115.56058998821223</c:v>
                </c:pt>
                <c:pt idx="800">
                  <c:v>115.95980222134588</c:v>
                </c:pt>
                <c:pt idx="801">
                  <c:v>116.35440623932978</c:v>
                </c:pt>
                <c:pt idx="802">
                  <c:v>116.74442106522572</c:v>
                </c:pt>
                <c:pt idx="803">
                  <c:v>117.1298661046677</c:v>
                </c:pt>
                <c:pt idx="804">
                  <c:v>117.51076113564966</c:v>
                </c:pt>
                <c:pt idx="805">
                  <c:v>117.88712629839893</c:v>
                </c:pt>
                <c:pt idx="806">
                  <c:v>118.25898208533603</c:v>
                </c:pt>
                <c:pt idx="807">
                  <c:v>118.62634933112267</c:v>
                </c:pt>
                <c:pt idx="808">
                  <c:v>118.98924920279832</c:v>
                </c:pt>
                <c:pt idx="809">
                  <c:v>119.34770319000739</c:v>
                </c:pt>
                <c:pt idx="810">
                  <c:v>119.70173309531748</c:v>
                </c:pt>
                <c:pt idx="811">
                  <c:v>120.05136102463011</c:v>
                </c:pt>
                <c:pt idx="812">
                  <c:v>120.39660937768508</c:v>
                </c:pt>
                <c:pt idx="813">
                  <c:v>120.73750083865946</c:v>
                </c:pt>
                <c:pt idx="814">
                  <c:v>121.07405836686218</c:v>
                </c:pt>
                <c:pt idx="815">
                  <c:v>121.40630518752539</c:v>
                </c:pt>
                <c:pt idx="816">
                  <c:v>121.73426478269361</c:v>
                </c:pt>
                <c:pt idx="817">
                  <c:v>122.0579608822113</c:v>
                </c:pt>
                <c:pt idx="818">
                  <c:v>122.3774174548102</c:v>
                </c:pt>
                <c:pt idx="819">
                  <c:v>122.69265869929701</c:v>
                </c:pt>
                <c:pt idx="820">
                  <c:v>123.00370903584248</c:v>
                </c:pt>
                <c:pt idx="821">
                  <c:v>123.31059309737239</c:v>
                </c:pt>
                <c:pt idx="822">
                  <c:v>123.61333572106156</c:v>
                </c:pt>
                <c:pt idx="823">
                  <c:v>123.91196193993135</c:v>
                </c:pt>
                <c:pt idx="824">
                  <c:v>124.20649697455136</c:v>
                </c:pt>
                <c:pt idx="825">
                  <c:v>124.49696622484613</c:v>
                </c:pt>
                <c:pt idx="826">
                  <c:v>124.78339526200716</c:v>
                </c:pt>
                <c:pt idx="827">
                  <c:v>125.06580982051095</c:v>
                </c:pt>
                <c:pt idx="828">
                  <c:v>125.34423579024369</c:v>
                </c:pt>
                <c:pt idx="829">
                  <c:v>125.61869920873266</c:v>
                </c:pt>
                <c:pt idx="830">
                  <c:v>125.88922625348526</c:v>
                </c:pt>
                <c:pt idx="831">
                  <c:v>126.15584323443544</c:v>
                </c:pt>
                <c:pt idx="832">
                  <c:v>126.41857658649846</c:v>
                </c:pt>
                <c:pt idx="833">
                  <c:v>126.67745286223392</c:v>
                </c:pt>
                <c:pt idx="834">
                  <c:v>126.93249872461709</c:v>
                </c:pt>
                <c:pt idx="835">
                  <c:v>127.18374093991929</c:v>
                </c:pt>
                <c:pt idx="836">
                  <c:v>127.43120637069691</c:v>
                </c:pt>
                <c:pt idx="837">
                  <c:v>127.67492196888954</c:v>
                </c:pt>
                <c:pt idx="838">
                  <c:v>127.91491476902689</c:v>
                </c:pt>
                <c:pt idx="839">
                  <c:v>128.15121188154512</c:v>
                </c:pt>
                <c:pt idx="840">
                  <c:v>128.38384048621174</c:v>
                </c:pt>
                <c:pt idx="841">
                  <c:v>128.61282782565971</c:v>
                </c:pt>
                <c:pt idx="842">
                  <c:v>128.83820119903035</c:v>
                </c:pt>
                <c:pt idx="843">
                  <c:v>129.05998795572464</c:v>
                </c:pt>
                <c:pt idx="844">
                  <c:v>129.27821548926326</c:v>
                </c:pt>
                <c:pt idx="845">
                  <c:v>129.49291123125479</c:v>
                </c:pt>
                <c:pt idx="846">
                  <c:v>129.70410264547175</c:v>
                </c:pt>
                <c:pt idx="847">
                  <c:v>129.9118172220345</c:v>
                </c:pt>
                <c:pt idx="848">
                  <c:v>130.1160824717021</c:v>
                </c:pt>
                <c:pt idx="849">
                  <c:v>130.31692592027062</c:v>
                </c:pt>
                <c:pt idx="850">
                  <c:v>130.51437510307733</c:v>
                </c:pt>
                <c:pt idx="851">
                  <c:v>130.70845755961153</c:v>
                </c:pt>
                <c:pt idx="852">
                  <c:v>130.89920082823059</c:v>
                </c:pt>
                <c:pt idx="853">
                  <c:v>131.08663244098111</c:v>
                </c:pt>
                <c:pt idx="854">
                  <c:v>131.27077991852488</c:v>
                </c:pt>
                <c:pt idx="855">
                  <c:v>131.45167076516836</c:v>
                </c:pt>
                <c:pt idx="856">
                  <c:v>131.62933246399587</c:v>
                </c:pt>
                <c:pt idx="857">
                  <c:v>131.80379247210519</c:v>
                </c:pt>
                <c:pt idx="858">
                  <c:v>131.97507821594547</c:v>
                </c:pt>
                <c:pt idx="859">
                  <c:v>132.14321708675641</c:v>
                </c:pt>
                <c:pt idx="860">
                  <c:v>132.30823643610793</c:v>
                </c:pt>
                <c:pt idx="861">
                  <c:v>132.4701635715401</c:v>
                </c:pt>
                <c:pt idx="862">
                  <c:v>132.62902575230183</c:v>
                </c:pt>
                <c:pt idx="863">
                  <c:v>132.78485018518816</c:v>
                </c:pt>
                <c:pt idx="864">
                  <c:v>132.93766402047521</c:v>
                </c:pt>
                <c:pt idx="865">
                  <c:v>133.08749434795152</c:v>
                </c:pt>
                <c:pt idx="866">
                  <c:v>133.23436819304561</c:v>
                </c:pt>
                <c:pt idx="867">
                  <c:v>133.37831251304829</c:v>
                </c:pt>
                <c:pt idx="868">
                  <c:v>133.51935419342945</c:v>
                </c:pt>
                <c:pt idx="869">
                  <c:v>133.65752004424772</c:v>
                </c:pt>
                <c:pt idx="870">
                  <c:v>133.79283679665267</c:v>
                </c:pt>
                <c:pt idx="871">
                  <c:v>133.92533109947823</c:v>
                </c:pt>
                <c:pt idx="872">
                  <c:v>134.05502951592683</c:v>
                </c:pt>
                <c:pt idx="873">
                  <c:v>134.18195852034259</c:v>
                </c:pt>
                <c:pt idx="874">
                  <c:v>134.30614449507343</c:v>
                </c:pt>
                <c:pt idx="875">
                  <c:v>134.42761372742029</c:v>
                </c:pt>
                <c:pt idx="876">
                  <c:v>134.54639240667314</c:v>
                </c:pt>
                <c:pt idx="877">
                  <c:v>134.66250662123238</c:v>
                </c:pt>
                <c:pt idx="878">
                  <c:v>134.7759823558147</c:v>
                </c:pt>
                <c:pt idx="879">
                  <c:v>134.88684548874232</c:v>
                </c:pt>
                <c:pt idx="880">
                  <c:v>134.88695375686549</c:v>
                </c:pt>
                <c:pt idx="881">
                  <c:v>134.88706202243151</c:v>
                </c:pt>
                <c:pt idx="882">
                  <c:v>134.88717028544045</c:v>
                </c:pt>
                <c:pt idx="883">
                  <c:v>134.8872785458922</c:v>
                </c:pt>
                <c:pt idx="884">
                  <c:v>134.88738680378694</c:v>
                </c:pt>
                <c:pt idx="885">
                  <c:v>134.88749505912463</c:v>
                </c:pt>
                <c:pt idx="886">
                  <c:v>134.88760331190528</c:v>
                </c:pt>
                <c:pt idx="887">
                  <c:v>134.88771156212891</c:v>
                </c:pt>
                <c:pt idx="888">
                  <c:v>134.88781980979559</c:v>
                </c:pt>
                <c:pt idx="889">
                  <c:v>134.88792805490533</c:v>
                </c:pt>
                <c:pt idx="890">
                  <c:v>134.88803629745811</c:v>
                </c:pt>
                <c:pt idx="891">
                  <c:v>134.88814453745402</c:v>
                </c:pt>
                <c:pt idx="892">
                  <c:v>134.88825277489306</c:v>
                </c:pt>
                <c:pt idx="893">
                  <c:v>134.88836100977522</c:v>
                </c:pt>
                <c:pt idx="894">
                  <c:v>134.88846924210057</c:v>
                </c:pt>
                <c:pt idx="895">
                  <c:v>134.88857747186913</c:v>
                </c:pt>
                <c:pt idx="896">
                  <c:v>134.88868569908092</c:v>
                </c:pt>
                <c:pt idx="897">
                  <c:v>134.88879392373596</c:v>
                </c:pt>
                <c:pt idx="898">
                  <c:v>134.88890214583429</c:v>
                </c:pt>
                <c:pt idx="899">
                  <c:v>134.88901036537592</c:v>
                </c:pt>
                <c:pt idx="900">
                  <c:v>134.88911858236091</c:v>
                </c:pt>
                <c:pt idx="901">
                  <c:v>134.88922679678922</c:v>
                </c:pt>
                <c:pt idx="902">
                  <c:v>134.88933500866091</c:v>
                </c:pt>
                <c:pt idx="903">
                  <c:v>134.88944321797601</c:v>
                </c:pt>
                <c:pt idx="904">
                  <c:v>134.88955142473452</c:v>
                </c:pt>
                <c:pt idx="905">
                  <c:v>134.8896596289365</c:v>
                </c:pt>
                <c:pt idx="906">
                  <c:v>134.88976783058197</c:v>
                </c:pt>
                <c:pt idx="907">
                  <c:v>134.88987602967094</c:v>
                </c:pt>
                <c:pt idx="908">
                  <c:v>134.88998422620344</c:v>
                </c:pt>
                <c:pt idx="909">
                  <c:v>134.89009242017949</c:v>
                </c:pt>
                <c:pt idx="910">
                  <c:v>134.89020061159914</c:v>
                </c:pt>
                <c:pt idx="911">
                  <c:v>134.89030880046238</c:v>
                </c:pt>
                <c:pt idx="912">
                  <c:v>134.89041698676925</c:v>
                </c:pt>
                <c:pt idx="913">
                  <c:v>134.89052517051982</c:v>
                </c:pt>
                <c:pt idx="914">
                  <c:v>134.89063335171403</c:v>
                </c:pt>
                <c:pt idx="915">
                  <c:v>134.89074153035199</c:v>
                </c:pt>
                <c:pt idx="916">
                  <c:v>134.89084970643367</c:v>
                </c:pt>
                <c:pt idx="917">
                  <c:v>134.8909578799591</c:v>
                </c:pt>
                <c:pt idx="918">
                  <c:v>134.89106605092832</c:v>
                </c:pt>
                <c:pt idx="919">
                  <c:v>134.89117421934134</c:v>
                </c:pt>
                <c:pt idx="920">
                  <c:v>134.89128238519822</c:v>
                </c:pt>
                <c:pt idx="921">
                  <c:v>134.89139054849895</c:v>
                </c:pt>
                <c:pt idx="922">
                  <c:v>134.89149870924359</c:v>
                </c:pt>
                <c:pt idx="923">
                  <c:v>134.8916068674321</c:v>
                </c:pt>
                <c:pt idx="924">
                  <c:v>134.89171502306459</c:v>
                </c:pt>
                <c:pt idx="925">
                  <c:v>134.89182317614103</c:v>
                </c:pt>
                <c:pt idx="926">
                  <c:v>134.89193132666145</c:v>
                </c:pt>
                <c:pt idx="927">
                  <c:v>134.8920394746259</c:v>
                </c:pt>
                <c:pt idx="928">
                  <c:v>134.89214762003439</c:v>
                </c:pt>
                <c:pt idx="929">
                  <c:v>134.89225576288695</c:v>
                </c:pt>
                <c:pt idx="930">
                  <c:v>134.89236390318359</c:v>
                </c:pt>
                <c:pt idx="931">
                  <c:v>134.89247204092433</c:v>
                </c:pt>
                <c:pt idx="932">
                  <c:v>134.89258017610922</c:v>
                </c:pt>
                <c:pt idx="933">
                  <c:v>134.89268830873829</c:v>
                </c:pt>
                <c:pt idx="934">
                  <c:v>134.89279643881153</c:v>
                </c:pt>
                <c:pt idx="935">
                  <c:v>134.89290456632901</c:v>
                </c:pt>
                <c:pt idx="936">
                  <c:v>134.89301269129072</c:v>
                </c:pt>
                <c:pt idx="937">
                  <c:v>134.89312081369667</c:v>
                </c:pt>
                <c:pt idx="938">
                  <c:v>134.89322893354696</c:v>
                </c:pt>
                <c:pt idx="939">
                  <c:v>134.89333705084155</c:v>
                </c:pt>
                <c:pt idx="940">
                  <c:v>134.89344516558052</c:v>
                </c:pt>
                <c:pt idx="941">
                  <c:v>134.8935532777638</c:v>
                </c:pt>
                <c:pt idx="942">
                  <c:v>134.89366138739149</c:v>
                </c:pt>
                <c:pt idx="943">
                  <c:v>134.89376949446361</c:v>
                </c:pt>
                <c:pt idx="944">
                  <c:v>134.89387759898017</c:v>
                </c:pt>
                <c:pt idx="945">
                  <c:v>134.89398570094122</c:v>
                </c:pt>
                <c:pt idx="946">
                  <c:v>134.8940938003467</c:v>
                </c:pt>
                <c:pt idx="947">
                  <c:v>134.89420189719678</c:v>
                </c:pt>
                <c:pt idx="948">
                  <c:v>134.89430999149138</c:v>
                </c:pt>
                <c:pt idx="949">
                  <c:v>134.89441808323053</c:v>
                </c:pt>
                <c:pt idx="950">
                  <c:v>134.89452617241432</c:v>
                </c:pt>
                <c:pt idx="951">
                  <c:v>134.8946342590427</c:v>
                </c:pt>
                <c:pt idx="952">
                  <c:v>134.89474234311575</c:v>
                </c:pt>
                <c:pt idx="953">
                  <c:v>134.89485042463346</c:v>
                </c:pt>
                <c:pt idx="954">
                  <c:v>134.89495850359586</c:v>
                </c:pt>
                <c:pt idx="955">
                  <c:v>134.895066580003</c:v>
                </c:pt>
                <c:pt idx="956">
                  <c:v>134.89517465385487</c:v>
                </c:pt>
                <c:pt idx="957">
                  <c:v>134.8952827251515</c:v>
                </c:pt>
                <c:pt idx="958">
                  <c:v>134.89539079389297</c:v>
                </c:pt>
                <c:pt idx="959">
                  <c:v>134.89549886007927</c:v>
                </c:pt>
                <c:pt idx="960">
                  <c:v>134.8956069237104</c:v>
                </c:pt>
                <c:pt idx="961">
                  <c:v>134.89571498478642</c:v>
                </c:pt>
                <c:pt idx="962">
                  <c:v>134.89582304330736</c:v>
                </c:pt>
                <c:pt idx="963">
                  <c:v>134.89593109927318</c:v>
                </c:pt>
                <c:pt idx="964">
                  <c:v>134.89603915268398</c:v>
                </c:pt>
                <c:pt idx="965">
                  <c:v>134.89614720353973</c:v>
                </c:pt>
                <c:pt idx="966">
                  <c:v>134.8962552518405</c:v>
                </c:pt>
                <c:pt idx="967">
                  <c:v>134.8963632975863</c:v>
                </c:pt>
                <c:pt idx="968">
                  <c:v>134.89647134077717</c:v>
                </c:pt>
                <c:pt idx="969">
                  <c:v>134.89657938141312</c:v>
                </c:pt>
                <c:pt idx="970">
                  <c:v>134.89668741949413</c:v>
                </c:pt>
                <c:pt idx="971">
                  <c:v>134.89679545502028</c:v>
                </c:pt>
                <c:pt idx="972">
                  <c:v>134.89690348799161</c:v>
                </c:pt>
                <c:pt idx="973">
                  <c:v>134.89701151840811</c:v>
                </c:pt>
                <c:pt idx="974">
                  <c:v>134.89711954626983</c:v>
                </c:pt>
                <c:pt idx="975">
                  <c:v>134.89722757157676</c:v>
                </c:pt>
                <c:pt idx="976">
                  <c:v>134.89733559432898</c:v>
                </c:pt>
                <c:pt idx="977">
                  <c:v>134.89744361452642</c:v>
                </c:pt>
                <c:pt idx="978">
                  <c:v>134.89755163216924</c:v>
                </c:pt>
                <c:pt idx="979">
                  <c:v>134.89765964725734</c:v>
                </c:pt>
                <c:pt idx="980">
                  <c:v>134.89776765979082</c:v>
                </c:pt>
                <c:pt idx="981">
                  <c:v>134.89787566976969</c:v>
                </c:pt>
                <c:pt idx="982">
                  <c:v>134.89798367719393</c:v>
                </c:pt>
                <c:pt idx="983">
                  <c:v>134.89809168206367</c:v>
                </c:pt>
                <c:pt idx="984">
                  <c:v>134.89819968437882</c:v>
                </c:pt>
                <c:pt idx="985">
                  <c:v>134.89830768413947</c:v>
                </c:pt>
                <c:pt idx="986">
                  <c:v>134.89841568134563</c:v>
                </c:pt>
                <c:pt idx="987">
                  <c:v>134.8985236759973</c:v>
                </c:pt>
                <c:pt idx="988">
                  <c:v>134.89863166809457</c:v>
                </c:pt>
                <c:pt idx="989">
                  <c:v>134.89873965763738</c:v>
                </c:pt>
                <c:pt idx="990">
                  <c:v>134.89884764462585</c:v>
                </c:pt>
                <c:pt idx="991">
                  <c:v>134.89895562905991</c:v>
                </c:pt>
                <c:pt idx="992">
                  <c:v>134.89906361093963</c:v>
                </c:pt>
                <c:pt idx="993">
                  <c:v>134.89917159026507</c:v>
                </c:pt>
                <c:pt idx="994">
                  <c:v>134.89927956703622</c:v>
                </c:pt>
                <c:pt idx="995">
                  <c:v>134.89938754125311</c:v>
                </c:pt>
                <c:pt idx="996">
                  <c:v>134.89949551291573</c:v>
                </c:pt>
                <c:pt idx="997">
                  <c:v>134.89960348202419</c:v>
                </c:pt>
                <c:pt idx="998">
                  <c:v>134.89971144857842</c:v>
                </c:pt>
                <c:pt idx="999">
                  <c:v>134.89981941257852</c:v>
                </c:pt>
                <c:pt idx="1000">
                  <c:v>134.89992737402449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5-5B4B-A9BE-4FC1D788D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20192"/>
        <c:axId val="1"/>
      </c:scatterChart>
      <c:valAx>
        <c:axId val="18059201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Courbes!$B$141</c:f>
              <c:strCache>
                <c:ptCount val="1"/>
                <c:pt idx="0">
                  <c:v>Vitesse [m/s]</c:v>
                </c:pt>
              </c:strCache>
            </c:strRef>
          </c:tx>
          <c:layout>
            <c:manualLayout>
              <c:xMode val="edge"/>
              <c:yMode val="edge"/>
              <c:x val="2.5943396226415096E-2"/>
              <c:y val="0.2287587051618547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201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440934540816568"/>
          <c:y val="0.46582833845835819"/>
          <c:w val="0.1219196919265597"/>
          <c:h val="7.692578066284813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Accélérations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9.4339622641509524E-2"/>
          <c:y val="9.4771241830065356E-2"/>
          <c:w val="0.88679245283019092"/>
          <c:h val="0.81699346405228768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Courbes!$B$137</c:f>
              <c:strCache>
                <c:ptCount val="1"/>
                <c:pt idx="0">
                  <c:v>Accélération longitudinale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Calculs!$AG$4:$AG$1004</c:f>
              <c:numCache>
                <c:formatCode>0.00</c:formatCode>
                <c:ptCount val="1001"/>
                <c:pt idx="0">
                  <c:v>0</c:v>
                </c:pt>
                <c:pt idx="1">
                  <c:v>7.3897037755939188</c:v>
                </c:pt>
                <c:pt idx="2">
                  <c:v>26.324310453553903</c:v>
                </c:pt>
                <c:pt idx="3">
                  <c:v>34.183353278649193</c:v>
                </c:pt>
                <c:pt idx="4">
                  <c:v>42.047798939174321</c:v>
                </c:pt>
                <c:pt idx="5">
                  <c:v>49.918514350829611</c:v>
                </c:pt>
                <c:pt idx="6">
                  <c:v>57.796353678970569</c:v>
                </c:pt>
                <c:pt idx="7">
                  <c:v>65.682158601612514</c:v>
                </c:pt>
                <c:pt idx="8">
                  <c:v>73.576758557822828</c:v>
                </c:pt>
                <c:pt idx="9">
                  <c:v>81.480970981858462</c:v>
                </c:pt>
                <c:pt idx="10">
                  <c:v>89.395601523388009</c:v>
                </c:pt>
                <c:pt idx="11">
                  <c:v>92.79941959595547</c:v>
                </c:pt>
                <c:pt idx="12">
                  <c:v>91.683397289689751</c:v>
                </c:pt>
                <c:pt idx="13">
                  <c:v>90.530582782629395</c:v>
                </c:pt>
                <c:pt idx="14">
                  <c:v>89.340951814175895</c:v>
                </c:pt>
                <c:pt idx="15">
                  <c:v>88.148949384742707</c:v>
                </c:pt>
                <c:pt idx="16">
                  <c:v>86.954620455345179</c:v>
                </c:pt>
                <c:pt idx="17">
                  <c:v>85.758009878721083</c:v>
                </c:pt>
                <c:pt idx="18">
                  <c:v>84.559162392120072</c:v>
                </c:pt>
                <c:pt idx="19">
                  <c:v>83.358122610160081</c:v>
                </c:pt>
                <c:pt idx="20">
                  <c:v>82.154935017752123</c:v>
                </c:pt>
                <c:pt idx="21">
                  <c:v>80.949643963094786</c:v>
                </c:pt>
                <c:pt idx="22">
                  <c:v>79.74229365073991</c:v>
                </c:pt>
                <c:pt idx="23">
                  <c:v>78.532928134731407</c:v>
                </c:pt>
                <c:pt idx="24">
                  <c:v>77.321591311817372</c:v>
                </c:pt>
                <c:pt idx="25">
                  <c:v>76.108326914738342</c:v>
                </c:pt>
                <c:pt idx="26">
                  <c:v>74.893178505591592</c:v>
                </c:pt>
                <c:pt idx="27">
                  <c:v>74.283549650694397</c:v>
                </c:pt>
                <c:pt idx="28">
                  <c:v>74.280394001993855</c:v>
                </c:pt>
                <c:pt idx="29">
                  <c:v>74.276771058912487</c:v>
                </c:pt>
                <c:pt idx="30">
                  <c:v>74.27268042356026</c:v>
                </c:pt>
                <c:pt idx="31">
                  <c:v>74.268121711262879</c:v>
                </c:pt>
                <c:pt idx="32">
                  <c:v>74.263094550595213</c:v>
                </c:pt>
                <c:pt idx="33">
                  <c:v>74.257598583414122</c:v>
                </c:pt>
                <c:pt idx="34">
                  <c:v>74.251633464890674</c:v>
                </c:pt>
                <c:pt idx="35">
                  <c:v>74.245198863541162</c:v>
                </c:pt>
                <c:pt idx="36">
                  <c:v>74.23829446125761</c:v>
                </c:pt>
                <c:pt idx="37">
                  <c:v>74.231196125266024</c:v>
                </c:pt>
                <c:pt idx="38">
                  <c:v>74.223625642261524</c:v>
                </c:pt>
                <c:pt idx="39">
                  <c:v>74.215578972371191</c:v>
                </c:pt>
                <c:pt idx="40">
                  <c:v>74.207056096014099</c:v>
                </c:pt>
                <c:pt idx="41">
                  <c:v>74.198056989815157</c:v>
                </c:pt>
                <c:pt idx="42">
                  <c:v>74.188581628245629</c:v>
                </c:pt>
                <c:pt idx="43">
                  <c:v>74.178629985076583</c:v>
                </c:pt>
                <c:pt idx="44">
                  <c:v>74.168202034670571</c:v>
                </c:pt>
                <c:pt idx="45">
                  <c:v>74.157297753133463</c:v>
                </c:pt>
                <c:pt idx="46">
                  <c:v>74.145917119344062</c:v>
                </c:pt>
                <c:pt idx="47">
                  <c:v>74.134060115876991</c:v>
                </c:pt>
                <c:pt idx="48">
                  <c:v>74.121726729832233</c:v>
                </c:pt>
                <c:pt idx="49">
                  <c:v>74.108916953582408</c:v>
                </c:pt>
                <c:pt idx="50">
                  <c:v>74.095630785447611</c:v>
                </c:pt>
                <c:pt idx="51">
                  <c:v>74.08186823030583</c:v>
                </c:pt>
                <c:pt idx="52">
                  <c:v>74.067629300146947</c:v>
                </c:pt>
                <c:pt idx="53">
                  <c:v>74.052914014575691</c:v>
                </c:pt>
                <c:pt idx="54">
                  <c:v>74.037722401269676</c:v>
                </c:pt>
                <c:pt idx="55">
                  <c:v>74.022054496397061</c:v>
                </c:pt>
                <c:pt idx="56">
                  <c:v>74.005910344998</c:v>
                </c:pt>
                <c:pt idx="57">
                  <c:v>73.989290001333586</c:v>
                </c:pt>
                <c:pt idx="58">
                  <c:v>73.972193529205768</c:v>
                </c:pt>
                <c:pt idx="59">
                  <c:v>73.954621002250434</c:v>
                </c:pt>
                <c:pt idx="60">
                  <c:v>73.936572504206936</c:v>
                </c:pt>
                <c:pt idx="61">
                  <c:v>73.918048129165939</c:v>
                </c:pt>
                <c:pt idx="62">
                  <c:v>73.899047981797409</c:v>
                </c:pt>
                <c:pt idx="63">
                  <c:v>73.87957217756086</c:v>
                </c:pt>
                <c:pt idx="64">
                  <c:v>73.859620842899247</c:v>
                </c:pt>
                <c:pt idx="65">
                  <c:v>73.839194115417854</c:v>
                </c:pt>
                <c:pt idx="66">
                  <c:v>73.818292144049522</c:v>
                </c:pt>
                <c:pt idx="67">
                  <c:v>73.796915089207516</c:v>
                </c:pt>
                <c:pt idx="68">
                  <c:v>73.775063122926454</c:v>
                </c:pt>
                <c:pt idx="69">
                  <c:v>73.75273642899306</c:v>
                </c:pt>
                <c:pt idx="70">
                  <c:v>73.729935203066859</c:v>
                </c:pt>
                <c:pt idx="71">
                  <c:v>73.706659652791799</c:v>
                </c:pt>
                <c:pt idx="72">
                  <c:v>73.675970579424501</c:v>
                </c:pt>
                <c:pt idx="73">
                  <c:v>73.637859565610569</c:v>
                </c:pt>
                <c:pt idx="74">
                  <c:v>73.59926367577448</c:v>
                </c:pt>
                <c:pt idx="75">
                  <c:v>73.560183427549333</c:v>
                </c:pt>
                <c:pt idx="76">
                  <c:v>73.520619351451188</c:v>
                </c:pt>
                <c:pt idx="77">
                  <c:v>73.480571990933711</c:v>
                </c:pt>
                <c:pt idx="78">
                  <c:v>73.440041902437571</c:v>
                </c:pt>
                <c:pt idx="79">
                  <c:v>73.399029655434049</c:v>
                </c:pt>
                <c:pt idx="80">
                  <c:v>73.357535832464038</c:v>
                </c:pt>
                <c:pt idx="81">
                  <c:v>73.315561029172073</c:v>
                </c:pt>
                <c:pt idx="82">
                  <c:v>73.273105854336009</c:v>
                </c:pt>
                <c:pt idx="83">
                  <c:v>73.23017092989258</c:v>
                </c:pt>
                <c:pt idx="84">
                  <c:v>73.186756890958947</c:v>
                </c:pt>
                <c:pt idx="85">
                  <c:v>73.142864385850544</c:v>
                </c:pt>
                <c:pt idx="86">
                  <c:v>73.098494076095307</c:v>
                </c:pt>
                <c:pt idx="87">
                  <c:v>73.053646636444711</c:v>
                </c:pt>
                <c:pt idx="88">
                  <c:v>73.008322754881419</c:v>
                </c:pt>
                <c:pt idx="89">
                  <c:v>72.962523132624128</c:v>
                </c:pt>
                <c:pt idx="90">
                  <c:v>72.916248484129142</c:v>
                </c:pt>
                <c:pt idx="91">
                  <c:v>72.869499537089695</c:v>
                </c:pt>
                <c:pt idx="92">
                  <c:v>72.822277032432197</c:v>
                </c:pt>
                <c:pt idx="93">
                  <c:v>72.774581724310153</c:v>
                </c:pt>
                <c:pt idx="94">
                  <c:v>72.72641438009569</c:v>
                </c:pt>
                <c:pt idx="95">
                  <c:v>72.677775780368577</c:v>
                </c:pt>
                <c:pt idx="96">
                  <c:v>72.628666718903276</c:v>
                </c:pt>
                <c:pt idx="97">
                  <c:v>72.579088002653634</c:v>
                </c:pt>
                <c:pt idx="98">
                  <c:v>72.529040451735597</c:v>
                </c:pt>
                <c:pt idx="99">
                  <c:v>72.478524899407915</c:v>
                </c:pt>
                <c:pt idx="100">
                  <c:v>72.427542192050922</c:v>
                </c:pt>
                <c:pt idx="101">
                  <c:v>72.376093189143504</c:v>
                </c:pt>
                <c:pt idx="102">
                  <c:v>72.324178763238237</c:v>
                </c:pt>
                <c:pt idx="103">
                  <c:v>72.271799799934698</c:v>
                </c:pt>
                <c:pt idx="104">
                  <c:v>72.218957197851324</c:v>
                </c:pt>
                <c:pt idx="105">
                  <c:v>72.165651868595432</c:v>
                </c:pt>
                <c:pt idx="106">
                  <c:v>72.111884736731625</c:v>
                </c:pt>
                <c:pt idx="107">
                  <c:v>72.057656739748893</c:v>
                </c:pt>
                <c:pt idx="108">
                  <c:v>72.002968828026013</c:v>
                </c:pt>
                <c:pt idx="109">
                  <c:v>71.947821964795537</c:v>
                </c:pt>
                <c:pt idx="110">
                  <c:v>71.892217126106473</c:v>
                </c:pt>
                <c:pt idx="111">
                  <c:v>71.836155300785364</c:v>
                </c:pt>
                <c:pt idx="112">
                  <c:v>71.779637490396183</c:v>
                </c:pt>
                <c:pt idx="113">
                  <c:v>71.722664709198995</c:v>
                </c:pt>
                <c:pt idx="114">
                  <c:v>71.665237984107065</c:v>
                </c:pt>
                <c:pt idx="115">
                  <c:v>71.607358354642926</c:v>
                </c:pt>
                <c:pt idx="116">
                  <c:v>71.549026872893165</c:v>
                </c:pt>
                <c:pt idx="117">
                  <c:v>71.490244603462045</c:v>
                </c:pt>
                <c:pt idx="118">
                  <c:v>71.431012623423811</c:v>
                </c:pt>
                <c:pt idx="119">
                  <c:v>71.371332022274075</c:v>
                </c:pt>
                <c:pt idx="120">
                  <c:v>71.311203901879892</c:v>
                </c:pt>
                <c:pt idx="121">
                  <c:v>71.250629376428734</c:v>
                </c:pt>
                <c:pt idx="122">
                  <c:v>71.189609572376611</c:v>
                </c:pt>
                <c:pt idx="123">
                  <c:v>71.128145628394847</c:v>
                </c:pt>
                <c:pt idx="124">
                  <c:v>71.066238695315946</c:v>
                </c:pt>
                <c:pt idx="125">
                  <c:v>71.00388993607848</c:v>
                </c:pt>
                <c:pt idx="126">
                  <c:v>70.941100525670919</c:v>
                </c:pt>
                <c:pt idx="127">
                  <c:v>70.877871651074557</c:v>
                </c:pt>
                <c:pt idx="128">
                  <c:v>70.814204511205233</c:v>
                </c:pt>
                <c:pt idx="129">
                  <c:v>70.718108020465593</c:v>
                </c:pt>
                <c:pt idx="130">
                  <c:v>70.589555788872815</c:v>
                </c:pt>
                <c:pt idx="131">
                  <c:v>70.46054155281324</c:v>
                </c:pt>
                <c:pt idx="132">
                  <c:v>70.331067852782695</c:v>
                </c:pt>
                <c:pt idx="133">
                  <c:v>70.201137239550334</c:v>
                </c:pt>
                <c:pt idx="134">
                  <c:v>70.070752274010005</c:v>
                </c:pt>
                <c:pt idx="135">
                  <c:v>69.939915527030905</c:v>
                </c:pt>
                <c:pt idx="136">
                  <c:v>69.808629579307976</c:v>
                </c:pt>
                <c:pt idx="137">
                  <c:v>69.676897021211289</c:v>
                </c:pt>
                <c:pt idx="138">
                  <c:v>69.54472045263536</c:v>
                </c:pt>
                <c:pt idx="139">
                  <c:v>69.412102482847644</c:v>
                </c:pt>
                <c:pt idx="140">
                  <c:v>69.279045730336776</c:v>
                </c:pt>
                <c:pt idx="141">
                  <c:v>69.145552822660179</c:v>
                </c:pt>
                <c:pt idx="142">
                  <c:v>69.011626396291391</c:v>
                </c:pt>
                <c:pt idx="143">
                  <c:v>68.877269096466833</c:v>
                </c:pt>
                <c:pt idx="144">
                  <c:v>68.742483577032417</c:v>
                </c:pt>
                <c:pt idx="145">
                  <c:v>68.60727250028954</c:v>
                </c:pt>
                <c:pt idx="146">
                  <c:v>68.471638536840956</c:v>
                </c:pt>
                <c:pt idx="147">
                  <c:v>68.335584365436176</c:v>
                </c:pt>
                <c:pt idx="148">
                  <c:v>68.199112672816682</c:v>
                </c:pt>
                <c:pt idx="149">
                  <c:v>68.0622261535608</c:v>
                </c:pt>
                <c:pt idx="150">
                  <c:v>67.924927509928395</c:v>
                </c:pt>
                <c:pt idx="151">
                  <c:v>67.787219451705184</c:v>
                </c:pt>
                <c:pt idx="152">
                  <c:v>67.649104696047061</c:v>
                </c:pt>
                <c:pt idx="153">
                  <c:v>67.510585967324033</c:v>
                </c:pt>
                <c:pt idx="154">
                  <c:v>67.371665996964111</c:v>
                </c:pt>
                <c:pt idx="155">
                  <c:v>67.232347523296966</c:v>
                </c:pt>
                <c:pt idx="156">
                  <c:v>67.092633291397533</c:v>
                </c:pt>
                <c:pt idx="157">
                  <c:v>66.9525260529294</c:v>
                </c:pt>
                <c:pt idx="158">
                  <c:v>66.812028565988228</c:v>
                </c:pt>
                <c:pt idx="159">
                  <c:v>66.671143594944951</c:v>
                </c:pt>
                <c:pt idx="160">
                  <c:v>66.529873910289126</c:v>
                </c:pt>
                <c:pt idx="161">
                  <c:v>66.388222288471965</c:v>
                </c:pt>
                <c:pt idx="162">
                  <c:v>66.246191511749629</c:v>
                </c:pt>
                <c:pt idx="163">
                  <c:v>66.103784368026368</c:v>
                </c:pt>
                <c:pt idx="164">
                  <c:v>65.96100365069762</c:v>
                </c:pt>
                <c:pt idx="165">
                  <c:v>65.817852158493253</c:v>
                </c:pt>
                <c:pt idx="166">
                  <c:v>65.67433269532097</c:v>
                </c:pt>
                <c:pt idx="167">
                  <c:v>65.530448070109443</c:v>
                </c:pt>
                <c:pt idx="168">
                  <c:v>65.386201096651888</c:v>
                </c:pt>
                <c:pt idx="169">
                  <c:v>65.241594593449392</c:v>
                </c:pt>
                <c:pt idx="170">
                  <c:v>65.096631383554865</c:v>
                </c:pt>
                <c:pt idx="171">
                  <c:v>64.951314294416477</c:v>
                </c:pt>
                <c:pt idx="172">
                  <c:v>64.805646157721824</c:v>
                </c:pt>
                <c:pt idx="173">
                  <c:v>64.659629809241935</c:v>
                </c:pt>
                <c:pt idx="174">
                  <c:v>64.513268088675488</c:v>
                </c:pt>
                <c:pt idx="175">
                  <c:v>64.36656383949348</c:v>
                </c:pt>
                <c:pt idx="176">
                  <c:v>64.219519908783724</c:v>
                </c:pt>
                <c:pt idx="177">
                  <c:v>64.072139147095839</c:v>
                </c:pt>
                <c:pt idx="178">
                  <c:v>63.924424408286512</c:v>
                </c:pt>
                <c:pt idx="179">
                  <c:v>63.776378549364836</c:v>
                </c:pt>
                <c:pt idx="180">
                  <c:v>63.628004430338045</c:v>
                </c:pt>
                <c:pt idx="181">
                  <c:v>63.479304914057565</c:v>
                </c:pt>
                <c:pt idx="182">
                  <c:v>63.330282866065261</c:v>
                </c:pt>
                <c:pt idx="183">
                  <c:v>63.180941154440191</c:v>
                </c:pt>
                <c:pt idx="184">
                  <c:v>63.031282649645433</c:v>
                </c:pt>
                <c:pt idx="185">
                  <c:v>62.881310224375504</c:v>
                </c:pt>
                <c:pt idx="186">
                  <c:v>62.731026753404009</c:v>
                </c:pt>
                <c:pt idx="187">
                  <c:v>62.580435113431783</c:v>
                </c:pt>
                <c:pt idx="188">
                  <c:v>62.429538182935254</c:v>
                </c:pt>
                <c:pt idx="189">
                  <c:v>62.278338842015359</c:v>
                </c:pt>
                <c:pt idx="190">
                  <c:v>62.12683997224687</c:v>
                </c:pt>
                <c:pt idx="191">
                  <c:v>61.975044456528082</c:v>
                </c:pt>
                <c:pt idx="192">
                  <c:v>61.822955178930975</c:v>
                </c:pt>
                <c:pt idx="193">
                  <c:v>61.670575024551887</c:v>
                </c:pt>
                <c:pt idx="194">
                  <c:v>61.517906879362599</c:v>
                </c:pt>
                <c:pt idx="195">
                  <c:v>61.364953630061869</c:v>
                </c:pt>
                <c:pt idx="196">
                  <c:v>61.211718163927699</c:v>
                </c:pt>
                <c:pt idx="197">
                  <c:v>61.058203368669766</c:v>
                </c:pt>
                <c:pt idx="198">
                  <c:v>60.90441213228263</c:v>
                </c:pt>
                <c:pt idx="199">
                  <c:v>60.750347342899389</c:v>
                </c:pt>
                <c:pt idx="200">
                  <c:v>60.596011888645883</c:v>
                </c:pt>
                <c:pt idx="201">
                  <c:v>60.441408657495522</c:v>
                </c:pt>
                <c:pt idx="202">
                  <c:v>60.286540537124587</c:v>
                </c:pt>
                <c:pt idx="203">
                  <c:v>60.131410414768155</c:v>
                </c:pt>
                <c:pt idx="204">
                  <c:v>59.976021177076717</c:v>
                </c:pt>
                <c:pt idx="205">
                  <c:v>59.820375709973149</c:v>
                </c:pt>
                <c:pt idx="206">
                  <c:v>59.656675113726507</c:v>
                </c:pt>
                <c:pt idx="207">
                  <c:v>59.484920232572591</c:v>
                </c:pt>
                <c:pt idx="208">
                  <c:v>59.312920011090668</c:v>
                </c:pt>
                <c:pt idx="209">
                  <c:v>59.140677629386985</c:v>
                </c:pt>
                <c:pt idx="210">
                  <c:v>58.968196264677957</c:v>
                </c:pt>
                <c:pt idx="211">
                  <c:v>58.795479091135732</c:v>
                </c:pt>
                <c:pt idx="212">
                  <c:v>58.622529279734685</c:v>
                </c:pt>
                <c:pt idx="213">
                  <c:v>58.449349998098782</c:v>
                </c:pt>
                <c:pt idx="214">
                  <c:v>58.275944410349759</c:v>
                </c:pt>
                <c:pt idx="215">
                  <c:v>58.102315676956437</c:v>
                </c:pt>
                <c:pt idx="216">
                  <c:v>57.928466954584806</c:v>
                </c:pt>
                <c:pt idx="217">
                  <c:v>57.754401395949159</c:v>
                </c:pt>
                <c:pt idx="218">
                  <c:v>57.580122149664135</c:v>
                </c:pt>
                <c:pt idx="219">
                  <c:v>57.405632360097691</c:v>
                </c:pt>
                <c:pt idx="220">
                  <c:v>57.230935167225198</c:v>
                </c:pt>
                <c:pt idx="221">
                  <c:v>57.056033706484392</c:v>
                </c:pt>
                <c:pt idx="222">
                  <c:v>56.88093110863133</c:v>
                </c:pt>
                <c:pt idx="223">
                  <c:v>56.70563049959739</c:v>
                </c:pt>
                <c:pt idx="224">
                  <c:v>56.530135000347315</c:v>
                </c:pt>
                <c:pt idx="225">
                  <c:v>56.354447726738215</c:v>
                </c:pt>
                <c:pt idx="226">
                  <c:v>56.178571789379653</c:v>
                </c:pt>
                <c:pt idx="227">
                  <c:v>56.002510293494765</c:v>
                </c:pt>
                <c:pt idx="228">
                  <c:v>55.826266338782318</c:v>
                </c:pt>
                <c:pt idx="229">
                  <c:v>55.649843019280063</c:v>
                </c:pt>
                <c:pt idx="230">
                  <c:v>55.47324342322888</c:v>
                </c:pt>
                <c:pt idx="231">
                  <c:v>55.29647063293821</c:v>
                </c:pt>
                <c:pt idx="232">
                  <c:v>55.119527724652443</c:v>
                </c:pt>
                <c:pt idx="233">
                  <c:v>54.942417768418395</c:v>
                </c:pt>
                <c:pt idx="234">
                  <c:v>54.76514382795397</c:v>
                </c:pt>
                <c:pt idx="235">
                  <c:v>54.587708960517823</c:v>
                </c:pt>
                <c:pt idx="236">
                  <c:v>54.410116216780239</c:v>
                </c:pt>
                <c:pt idx="237">
                  <c:v>54.23236864069488</c:v>
                </c:pt>
                <c:pt idx="238">
                  <c:v>54.054469269372035</c:v>
                </c:pt>
                <c:pt idx="239">
                  <c:v>53.876421132952643</c:v>
                </c:pt>
                <c:pt idx="240">
                  <c:v>53.698227254483626</c:v>
                </c:pt>
                <c:pt idx="241">
                  <c:v>53.519890649794348</c:v>
                </c:pt>
                <c:pt idx="242">
                  <c:v>53.314431441015238</c:v>
                </c:pt>
                <c:pt idx="243">
                  <c:v>53.081852998136938</c:v>
                </c:pt>
                <c:pt idx="244">
                  <c:v>52.849162434462841</c:v>
                </c:pt>
                <c:pt idx="245">
                  <c:v>52.616363728879087</c:v>
                </c:pt>
                <c:pt idx="246">
                  <c:v>52.383460845413154</c:v>
                </c:pt>
                <c:pt idx="247">
                  <c:v>52.150457733078277</c:v>
                </c:pt>
                <c:pt idx="248">
                  <c:v>51.917358325720109</c:v>
                </c:pt>
                <c:pt idx="249">
                  <c:v>51.684166541865338</c:v>
                </c:pt>
                <c:pt idx="250">
                  <c:v>51.450886284572633</c:v>
                </c:pt>
                <c:pt idx="251">
                  <c:v>51.217521441285612</c:v>
                </c:pt>
                <c:pt idx="252">
                  <c:v>50.984075883687957</c:v>
                </c:pt>
                <c:pt idx="253">
                  <c:v>50.750553467560664</c:v>
                </c:pt>
                <c:pt idx="254">
                  <c:v>50.516958032641426</c:v>
                </c:pt>
                <c:pt idx="255">
                  <c:v>50.283293402486173</c:v>
                </c:pt>
                <c:pt idx="256">
                  <c:v>50.049563384332721</c:v>
                </c:pt>
                <c:pt idx="257">
                  <c:v>49.815771768966556</c:v>
                </c:pt>
                <c:pt idx="258">
                  <c:v>49.581922330588775</c:v>
                </c:pt>
                <c:pt idx="259">
                  <c:v>49.348018826686129</c:v>
                </c:pt>
                <c:pt idx="260">
                  <c:v>49.114064997903213</c:v>
                </c:pt>
                <c:pt idx="261">
                  <c:v>48.880064567916826</c:v>
                </c:pt>
                <c:pt idx="262">
                  <c:v>48.646021243312354</c:v>
                </c:pt>
                <c:pt idx="263">
                  <c:v>48.411938713462455</c:v>
                </c:pt>
                <c:pt idx="264">
                  <c:v>48.177820650407632</c:v>
                </c:pt>
                <c:pt idx="265">
                  <c:v>47.94367070873917</c:v>
                </c:pt>
                <c:pt idx="266">
                  <c:v>47.709492525484009</c:v>
                </c:pt>
                <c:pt idx="267">
                  <c:v>47.475289719991864</c:v>
                </c:pt>
                <c:pt idx="268">
                  <c:v>47.241065893824356</c:v>
                </c:pt>
                <c:pt idx="269">
                  <c:v>47.006824630646342</c:v>
                </c:pt>
                <c:pt idx="270">
                  <c:v>46.772569496119274</c:v>
                </c:pt>
                <c:pt idx="271">
                  <c:v>46.538304037796685</c:v>
                </c:pt>
                <c:pt idx="272">
                  <c:v>46.304031785021799</c:v>
                </c:pt>
                <c:pt idx="273">
                  <c:v>46.06975624882724</c:v>
                </c:pt>
                <c:pt idx="274">
                  <c:v>45.835480921836748</c:v>
                </c:pt>
                <c:pt idx="275">
                  <c:v>45.601209278169065</c:v>
                </c:pt>
                <c:pt idx="276">
                  <c:v>45.36694477334386</c:v>
                </c:pt>
                <c:pt idx="277">
                  <c:v>45.132690844189753</c:v>
                </c:pt>
                <c:pt idx="278">
                  <c:v>44.898450908754334</c:v>
                </c:pt>
                <c:pt idx="279">
                  <c:v>44.664228366216321</c:v>
                </c:pt>
                <c:pt idx="280">
                  <c:v>44.430026596799763</c:v>
                </c:pt>
                <c:pt idx="281">
                  <c:v>44.195848961690203</c:v>
                </c:pt>
                <c:pt idx="282">
                  <c:v>43.961698802953016</c:v>
                </c:pt>
                <c:pt idx="283">
                  <c:v>43.727579443453656</c:v>
                </c:pt>
                <c:pt idx="284">
                  <c:v>43.52518930128619</c:v>
                </c:pt>
                <c:pt idx="285">
                  <c:v>43.354520474170528</c:v>
                </c:pt>
                <c:pt idx="286">
                  <c:v>43.183847629675242</c:v>
                </c:pt>
                <c:pt idx="287">
                  <c:v>43.013173044686013</c:v>
                </c:pt>
                <c:pt idx="288">
                  <c:v>42.842498985467152</c:v>
                </c:pt>
                <c:pt idx="289">
                  <c:v>42.671827707609367</c:v>
                </c:pt>
                <c:pt idx="290">
                  <c:v>42.50116145597859</c:v>
                </c:pt>
                <c:pt idx="291">
                  <c:v>42.330502464665756</c:v>
                </c:pt>
                <c:pt idx="292">
                  <c:v>42.159852956937577</c:v>
                </c:pt>
                <c:pt idx="293">
                  <c:v>41.989215145188481</c:v>
                </c:pt>
                <c:pt idx="294">
                  <c:v>41.818591230893354</c:v>
                </c:pt>
                <c:pt idx="295">
                  <c:v>41.647983404561408</c:v>
                </c:pt>
                <c:pt idx="296">
                  <c:v>41.477393845690941</c:v>
                </c:pt>
                <c:pt idx="297">
                  <c:v>41.30682472272531</c:v>
                </c:pt>
                <c:pt idx="298">
                  <c:v>41.136278193009602</c:v>
                </c:pt>
                <c:pt idx="299">
                  <c:v>40.965756402748468</c:v>
                </c:pt>
                <c:pt idx="300">
                  <c:v>40.79526148696506</c:v>
                </c:pt>
                <c:pt idx="301">
                  <c:v>40.624795569460538</c:v>
                </c:pt>
                <c:pt idx="302">
                  <c:v>40.454360762775075</c:v>
                </c:pt>
                <c:pt idx="303">
                  <c:v>40.283959168149515</c:v>
                </c:pt>
                <c:pt idx="304">
                  <c:v>40.113592875487981</c:v>
                </c:pt>
                <c:pt idx="305">
                  <c:v>39.943263963321648</c:v>
                </c:pt>
                <c:pt idx="306">
                  <c:v>39.772974498773358</c:v>
                </c:pt>
                <c:pt idx="307">
                  <c:v>39.602726537523168</c:v>
                </c:pt>
                <c:pt idx="308">
                  <c:v>39.432522123774973</c:v>
                </c:pt>
                <c:pt idx="309">
                  <c:v>39.262363290223973</c:v>
                </c:pt>
                <c:pt idx="310">
                  <c:v>39.092252058025089</c:v>
                </c:pt>
                <c:pt idx="311">
                  <c:v>38.922190436762456</c:v>
                </c:pt>
                <c:pt idx="312">
                  <c:v>38.752180424419649</c:v>
                </c:pt>
                <c:pt idx="313">
                  <c:v>38.582224007351051</c:v>
                </c:pt>
                <c:pt idx="314">
                  <c:v>38.412323160254012</c:v>
                </c:pt>
                <c:pt idx="315">
                  <c:v>38.242479846141961</c:v>
                </c:pt>
                <c:pt idx="316">
                  <c:v>38.072696016318496</c:v>
                </c:pt>
                <c:pt idx="317">
                  <c:v>37.902973610352326</c:v>
                </c:pt>
                <c:pt idx="318">
                  <c:v>37.733314556053202</c:v>
                </c:pt>
                <c:pt idx="319">
                  <c:v>37.563720769448658</c:v>
                </c:pt>
                <c:pt idx="320">
                  <c:v>37.394194154761735</c:v>
                </c:pt>
                <c:pt idx="321">
                  <c:v>37.22473660438952</c:v>
                </c:pt>
                <c:pt idx="322">
                  <c:v>37.055349998882768</c:v>
                </c:pt>
                <c:pt idx="323">
                  <c:v>36.886036206926079</c:v>
                </c:pt>
                <c:pt idx="324">
                  <c:v>36.716797085319378</c:v>
                </c:pt>
                <c:pt idx="325">
                  <c:v>36.5476344789599</c:v>
                </c:pt>
                <c:pt idx="326">
                  <c:v>36.380498023650645</c:v>
                </c:pt>
                <c:pt idx="327">
                  <c:v>36.21538835431501</c:v>
                </c:pt>
                <c:pt idx="328">
                  <c:v>36.050357009312272</c:v>
                </c:pt>
                <c:pt idx="329">
                  <c:v>35.885405739475409</c:v>
                </c:pt>
                <c:pt idx="330">
                  <c:v>35.72053628414848</c:v>
                </c:pt>
                <c:pt idx="331">
                  <c:v>35.555750371173666</c:v>
                </c:pt>
                <c:pt idx="332">
                  <c:v>35.391049716879195</c:v>
                </c:pt>
                <c:pt idx="333">
                  <c:v>35.22643602606805</c:v>
                </c:pt>
                <c:pt idx="334">
                  <c:v>35.061910992007419</c:v>
                </c:pt>
                <c:pt idx="335">
                  <c:v>34.897476296419001</c:v>
                </c:pt>
                <c:pt idx="336">
                  <c:v>34.73313360947003</c:v>
                </c:pt>
                <c:pt idx="337">
                  <c:v>34.568884589765133</c:v>
                </c:pt>
                <c:pt idx="338">
                  <c:v>34.404730884338889</c:v>
                </c:pt>
                <c:pt idx="339">
                  <c:v>34.240674128649246</c:v>
                </c:pt>
                <c:pt idx="340">
                  <c:v>34.076715946571625</c:v>
                </c:pt>
                <c:pt idx="341">
                  <c:v>33.912857950393764</c:v>
                </c:pt>
                <c:pt idx="342">
                  <c:v>33.74910174081144</c:v>
                </c:pt>
                <c:pt idx="343">
                  <c:v>33.585448906924782</c:v>
                </c:pt>
                <c:pt idx="344">
                  <c:v>33.421901026235389</c:v>
                </c:pt>
                <c:pt idx="345">
                  <c:v>33.258459664644171</c:v>
                </c:pt>
                <c:pt idx="346">
                  <c:v>33.095126376449969</c:v>
                </c:pt>
                <c:pt idx="347">
                  <c:v>32.931902704348815</c:v>
                </c:pt>
                <c:pt idx="348">
                  <c:v>32.768790179433907</c:v>
                </c:pt>
                <c:pt idx="349">
                  <c:v>32.605790321196466</c:v>
                </c:pt>
                <c:pt idx="350">
                  <c:v>32.442904637527022</c:v>
                </c:pt>
                <c:pt idx="351">
                  <c:v>32.28013462471759</c:v>
                </c:pt>
                <c:pt idx="352">
                  <c:v>32.117481767464511</c:v>
                </c:pt>
                <c:pt idx="353">
                  <c:v>31.954947538871963</c:v>
                </c:pt>
                <c:pt idx="354">
                  <c:v>31.792533400456087</c:v>
                </c:pt>
                <c:pt idx="355">
                  <c:v>31.630240802149959</c:v>
                </c:pt>
                <c:pt idx="356">
                  <c:v>31.468071182309053</c:v>
                </c:pt>
                <c:pt idx="357">
                  <c:v>31.306025967717382</c:v>
                </c:pt>
                <c:pt idx="358">
                  <c:v>31.144106573594549</c:v>
                </c:pt>
                <c:pt idx="359">
                  <c:v>30.982314403603034</c:v>
                </c:pt>
                <c:pt idx="360">
                  <c:v>30.82065084985652</c:v>
                </c:pt>
                <c:pt idx="361">
                  <c:v>30.659117292928588</c:v>
                </c:pt>
                <c:pt idx="362">
                  <c:v>30.497715101862216</c:v>
                </c:pt>
                <c:pt idx="363">
                  <c:v>30.336445634179793</c:v>
                </c:pt>
                <c:pt idx="364">
                  <c:v>30.175310235893811</c:v>
                </c:pt>
                <c:pt idx="365">
                  <c:v>30.014310241518238</c:v>
                </c:pt>
                <c:pt idx="366">
                  <c:v>29.902838428187785</c:v>
                </c:pt>
                <c:pt idx="367">
                  <c:v>29.840855357831618</c:v>
                </c:pt>
                <c:pt idx="368">
                  <c:v>29.778899784251816</c:v>
                </c:pt>
                <c:pt idx="369">
                  <c:v>29.716972198165713</c:v>
                </c:pt>
                <c:pt idx="370">
                  <c:v>29.655073087980675</c:v>
                </c:pt>
                <c:pt idx="371">
                  <c:v>29.593202939791475</c:v>
                </c:pt>
                <c:pt idx="372">
                  <c:v>29.531362237377934</c:v>
                </c:pt>
                <c:pt idx="373">
                  <c:v>29.469551462202517</c:v>
                </c:pt>
                <c:pt idx="374">
                  <c:v>29.407771093408005</c:v>
                </c:pt>
                <c:pt idx="375">
                  <c:v>29.346021607815487</c:v>
                </c:pt>
                <c:pt idx="376">
                  <c:v>29.284303479922208</c:v>
                </c:pt>
                <c:pt idx="377">
                  <c:v>29.22261718189959</c:v>
                </c:pt>
                <c:pt idx="378">
                  <c:v>29.160963183591416</c:v>
                </c:pt>
                <c:pt idx="379">
                  <c:v>29.099341952512017</c:v>
                </c:pt>
                <c:pt idx="380">
                  <c:v>29.037753953844604</c:v>
                </c:pt>
                <c:pt idx="381">
                  <c:v>28.922886327116338</c:v>
                </c:pt>
                <c:pt idx="382">
                  <c:v>28.754786051341668</c:v>
                </c:pt>
                <c:pt idx="383">
                  <c:v>28.586846135358449</c:v>
                </c:pt>
                <c:pt idx="384">
                  <c:v>28.41906786526226</c:v>
                </c:pt>
                <c:pt idx="385">
                  <c:v>28.251452514700727</c:v>
                </c:pt>
                <c:pt idx="386">
                  <c:v>28.084001344895789</c:v>
                </c:pt>
                <c:pt idx="387">
                  <c:v>27.916715604666337</c:v>
                </c:pt>
                <c:pt idx="388">
                  <c:v>27.749596530451591</c:v>
                </c:pt>
                <c:pt idx="389">
                  <c:v>27.582645346335106</c:v>
                </c:pt>
                <c:pt idx="390">
                  <c:v>27.415863264069124</c:v>
                </c:pt>
                <c:pt idx="391">
                  <c:v>27.249251483099751</c:v>
                </c:pt>
                <c:pt idx="392">
                  <c:v>27.082811190592516</c:v>
                </c:pt>
                <c:pt idx="393">
                  <c:v>26.916543561458528</c:v>
                </c:pt>
                <c:pt idx="394">
                  <c:v>26.750449758381297</c:v>
                </c:pt>
                <c:pt idx="395">
                  <c:v>26.584530931843851</c:v>
                </c:pt>
                <c:pt idx="396">
                  <c:v>26.41878822015666</c:v>
                </c:pt>
                <c:pt idx="397">
                  <c:v>26.253222749485783</c:v>
                </c:pt>
                <c:pt idx="398">
                  <c:v>26.087835633881888</c:v>
                </c:pt>
                <c:pt idx="399">
                  <c:v>25.92262797530946</c:v>
                </c:pt>
                <c:pt idx="400">
                  <c:v>25.757600863676679</c:v>
                </c:pt>
                <c:pt idx="401">
                  <c:v>25.550906530005125</c:v>
                </c:pt>
                <c:pt idx="402">
                  <c:v>25.302586988076833</c:v>
                </c:pt>
                <c:pt idx="403">
                  <c:v>25.054557849519682</c:v>
                </c:pt>
                <c:pt idx="404">
                  <c:v>24.806820938532177</c:v>
                </c:pt>
                <c:pt idx="405">
                  <c:v>24.559378054679708</c:v>
                </c:pt>
                <c:pt idx="406">
                  <c:v>24.312230972971498</c:v>
                </c:pt>
                <c:pt idx="407">
                  <c:v>24.065381443938769</c:v>
                </c:pt>
                <c:pt idx="408">
                  <c:v>23.818831193713912</c:v>
                </c:pt>
                <c:pt idx="409">
                  <c:v>23.572581924110963</c:v>
                </c:pt>
                <c:pt idx="410">
                  <c:v>23.32663531270714</c:v>
                </c:pt>
                <c:pt idx="411">
                  <c:v>22.85001581811138</c:v>
                </c:pt>
                <c:pt idx="412">
                  <c:v>22.142968871403404</c:v>
                </c:pt>
                <c:pt idx="413">
                  <c:v>21.436850177568338</c:v>
                </c:pt>
                <c:pt idx="414">
                  <c:v>20.731668896760844</c:v>
                </c:pt>
                <c:pt idx="415">
                  <c:v>20.027434015005706</c:v>
                </c:pt>
                <c:pt idx="416">
                  <c:v>19.324154344807006</c:v>
                </c:pt>
                <c:pt idx="417">
                  <c:v>18.621838525774947</c:v>
                </c:pt>
                <c:pt idx="418">
                  <c:v>17.920495025269624</c:v>
                </c:pt>
                <c:pt idx="419">
                  <c:v>17.220132139061409</c:v>
                </c:pt>
                <c:pt idx="420">
                  <c:v>16.389498102452247</c:v>
                </c:pt>
                <c:pt idx="421">
                  <c:v>15.428759583305066</c:v>
                </c:pt>
                <c:pt idx="422">
                  <c:v>14.469411341952329</c:v>
                </c:pt>
                <c:pt idx="423">
                  <c:v>13.511467505696523</c:v>
                </c:pt>
                <c:pt idx="424">
                  <c:v>12.554941887679089</c:v>
                </c:pt>
                <c:pt idx="425">
                  <c:v>11.59984798814814</c:v>
                </c:pt>
                <c:pt idx="426">
                  <c:v>10.646198995762985</c:v>
                </c:pt>
                <c:pt idx="427">
                  <c:v>9.6940077889350196</c:v>
                </c:pt>
                <c:pt idx="428">
                  <c:v>8.7432869372036528</c:v>
                </c:pt>
                <c:pt idx="429">
                  <c:v>7.794048702646645</c:v>
                </c:pt>
                <c:pt idx="430">
                  <c:v>6.8463050413237898</c:v>
                </c:pt>
                <c:pt idx="431">
                  <c:v>5.9000676047531329</c:v>
                </c:pt>
                <c:pt idx="432">
                  <c:v>4.7440902517025769</c:v>
                </c:pt>
                <c:pt idx="433">
                  <c:v>3.3786924641174352</c:v>
                </c:pt>
                <c:pt idx="434">
                  <c:v>2.0155376771327074</c:v>
                </c:pt>
                <c:pt idx="435">
                  <c:v>0.65464938445688325</c:v>
                </c:pt>
                <c:pt idx="436">
                  <c:v>-0.70394954491096939</c:v>
                </c:pt>
                <c:pt idx="437">
                  <c:v>-2.0602368637134107</c:v>
                </c:pt>
                <c:pt idx="438">
                  <c:v>-3.4141909433770508</c:v>
                </c:pt>
                <c:pt idx="439">
                  <c:v>-4.7657907708679934</c:v>
                </c:pt>
                <c:pt idx="440">
                  <c:v>-6.1150159454626305</c:v>
                </c:pt>
                <c:pt idx="441">
                  <c:v>-7.4618466754364068</c:v>
                </c:pt>
                <c:pt idx="442">
                  <c:v>-8.6780637056228009</c:v>
                </c:pt>
                <c:pt idx="443">
                  <c:v>-9.7638704248876564</c:v>
                </c:pt>
                <c:pt idx="444">
                  <c:v>-10.847705516417486</c:v>
                </c:pt>
                <c:pt idx="445">
                  <c:v>-11.929558934391402</c:v>
                </c:pt>
                <c:pt idx="446">
                  <c:v>-13.009421014737184</c:v>
                </c:pt>
                <c:pt idx="447">
                  <c:v>-14.08728247250912</c:v>
                </c:pt>
                <c:pt idx="448">
                  <c:v>-15.163134399237121</c:v>
                </c:pt>
                <c:pt idx="449">
                  <c:v>-16.23696826024814</c:v>
                </c:pt>
                <c:pt idx="450">
                  <c:v>-17.308775891961371</c:v>
                </c:pt>
                <c:pt idx="451">
                  <c:v>-18.378549499158531</c:v>
                </c:pt>
                <c:pt idx="452">
                  <c:v>-19.446281652230116</c:v>
                </c:pt>
                <c:pt idx="453">
                  <c:v>-20.328504678929523</c:v>
                </c:pt>
                <c:pt idx="454">
                  <c:v>-21.025568026815947</c:v>
                </c:pt>
                <c:pt idx="455">
                  <c:v>-21.721307191888769</c:v>
                </c:pt>
                <c:pt idx="456">
                  <c:v>-22.415721889714149</c:v>
                </c:pt>
                <c:pt idx="457">
                  <c:v>-23.108811976240382</c:v>
                </c:pt>
                <c:pt idx="458">
                  <c:v>-23.800577446518957</c:v>
                </c:pt>
                <c:pt idx="459">
                  <c:v>-24.49101843342622</c:v>
                </c:pt>
                <c:pt idx="460">
                  <c:v>-25.180135206386328</c:v>
                </c:pt>
                <c:pt idx="461">
                  <c:v>-25.702878147820563</c:v>
                </c:pt>
                <c:pt idx="462">
                  <c:v>-26.059581647104224</c:v>
                </c:pt>
                <c:pt idx="463">
                  <c:v>-26.415641481958005</c:v>
                </c:pt>
                <c:pt idx="464">
                  <c:v>-26.771059652050127</c:v>
                </c:pt>
                <c:pt idx="465">
                  <c:v>-27.12583818366765</c:v>
                </c:pt>
                <c:pt idx="466">
                  <c:v>-27.618616508464541</c:v>
                </c:pt>
                <c:pt idx="467">
                  <c:v>-28.249112850485076</c:v>
                </c:pt>
                <c:pt idx="468">
                  <c:v>-30.422246837180154</c:v>
                </c:pt>
                <c:pt idx="469">
                  <c:v>-32.245487621732153</c:v>
                </c:pt>
                <c:pt idx="470">
                  <c:v>-32.17573942958289</c:v>
                </c:pt>
                <c:pt idx="471">
                  <c:v>-32.106260704187846</c:v>
                </c:pt>
                <c:pt idx="472">
                  <c:v>-32.0370500578817</c:v>
                </c:pt>
                <c:pt idx="473">
                  <c:v>-31.968106112000601</c:v>
                </c:pt>
                <c:pt idx="474">
                  <c:v>-31.899427496811853</c:v>
                </c:pt>
                <c:pt idx="475">
                  <c:v>-31.831012851444164</c:v>
                </c:pt>
                <c:pt idx="476">
                  <c:v>-31.762860823818723</c:v>
                </c:pt>
                <c:pt idx="477">
                  <c:v>-31.694970070580737</c:v>
                </c:pt>
                <c:pt idx="478">
                  <c:v>-31.627339257031647</c:v>
                </c:pt>
                <c:pt idx="479">
                  <c:v>-31.559967057061932</c:v>
                </c:pt>
                <c:pt idx="480">
                  <c:v>-31.492852153084669</c:v>
                </c:pt>
                <c:pt idx="481">
                  <c:v>-31.425993235969383</c:v>
                </c:pt>
                <c:pt idx="482">
                  <c:v>-31.359389004976883</c:v>
                </c:pt>
                <c:pt idx="483">
                  <c:v>-31.293038167694355</c:v>
                </c:pt>
                <c:pt idx="484">
                  <c:v>-31.226939439971243</c:v>
                </c:pt>
                <c:pt idx="485">
                  <c:v>-31.161091545855612</c:v>
                </c:pt>
                <c:pt idx="486">
                  <c:v>-31.095493217531143</c:v>
                </c:pt>
                <c:pt idx="487">
                  <c:v>-31.030143195254638</c:v>
                </c:pt>
                <c:pt idx="488">
                  <c:v>-30.965040227294111</c:v>
                </c:pt>
                <c:pt idx="489">
                  <c:v>-30.900183069867452</c:v>
                </c:pt>
                <c:pt idx="490">
                  <c:v>-30.835570487081633</c:v>
                </c:pt>
                <c:pt idx="491">
                  <c:v>-30.771201250872402</c:v>
                </c:pt>
                <c:pt idx="492">
                  <c:v>-30.70707414094462</c:v>
                </c:pt>
                <c:pt idx="493">
                  <c:v>-30.643187944712995</c:v>
                </c:pt>
                <c:pt idx="494">
                  <c:v>-30.579541457243522</c:v>
                </c:pt>
                <c:pt idx="495">
                  <c:v>-30.516133481195261</c:v>
                </c:pt>
                <c:pt idx="496">
                  <c:v>-30.452962826762707</c:v>
                </c:pt>
                <c:pt idx="497">
                  <c:v>-30.390028311618728</c:v>
                </c:pt>
                <c:pt idx="498">
                  <c:v>-30.327328760857959</c:v>
                </c:pt>
                <c:pt idx="499">
                  <c:v>-30.264863006940629</c:v>
                </c:pt>
                <c:pt idx="500">
                  <c:v>-30.20262988963702</c:v>
                </c:pt>
                <c:pt idx="501">
                  <c:v>-30.140628255972285</c:v>
                </c:pt>
                <c:pt idx="502">
                  <c:v>-29.527941319555666</c:v>
                </c:pt>
                <c:pt idx="503">
                  <c:v>-28.937634530040359</c:v>
                </c:pt>
                <c:pt idx="504">
                  <c:v>-28.368630129476045</c:v>
                </c:pt>
                <c:pt idx="505">
                  <c:v>-27.819915156449277</c:v>
                </c:pt>
                <c:pt idx="506">
                  <c:v>-27.290536798301495</c:v>
                </c:pt>
                <c:pt idx="507">
                  <c:v>-26.779598129188013</c:v>
                </c:pt>
                <c:pt idx="508">
                  <c:v>-26.28625419766858</c:v>
                </c:pt>
                <c:pt idx="509">
                  <c:v>-25.809708431329391</c:v>
                </c:pt>
                <c:pt idx="510">
                  <c:v>-25.349209329304387</c:v>
                </c:pt>
                <c:pt idx="511">
                  <c:v>-24.904047416548593</c:v>
                </c:pt>
                <c:pt idx="512">
                  <c:v>-24.473552436363626</c:v>
                </c:pt>
                <c:pt idx="513">
                  <c:v>-24.05709076002789</c:v>
                </c:pt>
                <c:pt idx="514">
                  <c:v>-23.654062994477044</c:v>
                </c:pt>
                <c:pt idx="515">
                  <c:v>-23.263901770845074</c:v>
                </c:pt>
                <c:pt idx="516">
                  <c:v>-22.886069698340052</c:v>
                </c:pt>
                <c:pt idx="517">
                  <c:v>-22.520057469414738</c:v>
                </c:pt>
                <c:pt idx="518">
                  <c:v>-22.165382103521715</c:v>
                </c:pt>
                <c:pt idx="519">
                  <c:v>-21.821585317933266</c:v>
                </c:pt>
                <c:pt idx="520">
                  <c:v>-21.488232015173935</c:v>
                </c:pt>
                <c:pt idx="521">
                  <c:v>-21.164908877571925</c:v>
                </c:pt>
                <c:pt idx="522">
                  <c:v>-20.851223060297308</c:v>
                </c:pt>
                <c:pt idx="523">
                  <c:v>-20.546800975029825</c:v>
                </c:pt>
                <c:pt idx="524">
                  <c:v>-20.251287157097842</c:v>
                </c:pt>
                <c:pt idx="525">
                  <c:v>-19.964343209559331</c:v>
                </c:pt>
                <c:pt idx="526">
                  <c:v>-19.685646818264658</c:v>
                </c:pt>
                <c:pt idx="527">
                  <c:v>-19.414890832454482</c:v>
                </c:pt>
                <c:pt idx="528">
                  <c:v>-19.151782405911099</c:v>
                </c:pt>
                <c:pt idx="529">
                  <c:v>-18.896042194102307</c:v>
                </c:pt>
                <c:pt idx="530">
                  <c:v>-18.647403603138265</c:v>
                </c:pt>
                <c:pt idx="531">
                  <c:v>-18.405612086708253</c:v>
                </c:pt>
                <c:pt idx="532">
                  <c:v>-18.170424487478037</c:v>
                </c:pt>
                <c:pt idx="533">
                  <c:v>-17.941608419714591</c:v>
                </c:pt>
                <c:pt idx="534">
                  <c:v>-17.718941690164414</c:v>
                </c:pt>
                <c:pt idx="535">
                  <c:v>-17.502211754448428</c:v>
                </c:pt>
                <c:pt idx="536">
                  <c:v>-17.29121520645176</c:v>
                </c:pt>
                <c:pt idx="537">
                  <c:v>-17.085757298383321</c:v>
                </c:pt>
                <c:pt idx="538">
                  <c:v>-16.885651489359176</c:v>
                </c:pt>
                <c:pt idx="539">
                  <c:v>-16.690719020527588</c:v>
                </c:pt>
                <c:pt idx="540">
                  <c:v>-16.500788514902961</c:v>
                </c:pt>
                <c:pt idx="541">
                  <c:v>-16.315695600212592</c:v>
                </c:pt>
                <c:pt idx="542">
                  <c:v>-16.135282553185345</c:v>
                </c:pt>
                <c:pt idx="543">
                  <c:v>-15.959397963825356</c:v>
                </c:pt>
                <c:pt idx="544">
                  <c:v>-15.78789641831904</c:v>
                </c:pt>
                <c:pt idx="545">
                  <c:v>-15.620638199318972</c:v>
                </c:pt>
                <c:pt idx="546">
                  <c:v>-15.457489002436503</c:v>
                </c:pt>
                <c:pt idx="547">
                  <c:v>-15.298319667854889</c:v>
                </c:pt>
                <c:pt idx="548">
                  <c:v>-15.143005926048577</c:v>
                </c:pt>
                <c:pt idx="549">
                  <c:v>-14.991428156661573</c:v>
                </c:pt>
                <c:pt idx="550">
                  <c:v>-14.843471159659318</c:v>
                </c:pt>
                <c:pt idx="551">
                  <c:v>-14.699023937924995</c:v>
                </c:pt>
                <c:pt idx="552">
                  <c:v>-14.557979490522552</c:v>
                </c:pt>
                <c:pt idx="553">
                  <c:v>-14.420234615895584</c:v>
                </c:pt>
                <c:pt idx="554">
                  <c:v>-14.285689724314024</c:v>
                </c:pt>
                <c:pt idx="555">
                  <c:v>-14.154248658919187</c:v>
                </c:pt>
                <c:pt idx="556">
                  <c:v>-14.025818524752903</c:v>
                </c:pt>
                <c:pt idx="557">
                  <c:v>-13.900309525187952</c:v>
                </c:pt>
                <c:pt idx="558">
                  <c:v>-13.777634805205301</c:v>
                </c:pt>
                <c:pt idx="559">
                  <c:v>-13.657710300988892</c:v>
                </c:pt>
                <c:pt idx="560">
                  <c:v>-13.540454595330658</c:v>
                </c:pt>
                <c:pt idx="561">
                  <c:v>-13.425788778357902</c:v>
                </c:pt>
                <c:pt idx="562">
                  <c:v>-13.313636313111409</c:v>
                </c:pt>
                <c:pt idx="563">
                  <c:v>-13.203922905516379</c:v>
                </c:pt>
                <c:pt idx="564">
                  <c:v>-13.096576378299128</c:v>
                </c:pt>
                <c:pt idx="565">
                  <c:v>-12.99152654841064</c:v>
                </c:pt>
                <c:pt idx="566">
                  <c:v>-12.88870510752341</c:v>
                </c:pt>
                <c:pt idx="567">
                  <c:v>-12.788045505170601</c:v>
                </c:pt>
                <c:pt idx="568">
                  <c:v>-12.689482834095985</c:v>
                </c:pt>
                <c:pt idx="569">
                  <c:v>-12.59295371737999</c:v>
                </c:pt>
                <c:pt idx="570">
                  <c:v>-12.498396196900281</c:v>
                </c:pt>
                <c:pt idx="571">
                  <c:v>-12.405749622675444</c:v>
                </c:pt>
                <c:pt idx="572">
                  <c:v>-12.314954542626687</c:v>
                </c:pt>
                <c:pt idx="573">
                  <c:v>-12.225952592274936</c:v>
                </c:pt>
                <c:pt idx="574">
                  <c:v>-12.13868638386891</c:v>
                </c:pt>
                <c:pt idx="575">
                  <c:v>-12.053099394413286</c:v>
                </c:pt>
                <c:pt idx="576">
                  <c:v>-11.969135852034702</c:v>
                </c:pt>
                <c:pt idx="577">
                  <c:v>-11.886740620085881</c:v>
                </c:pt>
                <c:pt idx="578">
                  <c:v>-11.805859078344977</c:v>
                </c:pt>
                <c:pt idx="579">
                  <c:v>-11.72643700061654</c:v>
                </c:pt>
                <c:pt idx="580">
                  <c:v>-11.648420427982328</c:v>
                </c:pt>
                <c:pt idx="581">
                  <c:v>-11.571755536882911</c:v>
                </c:pt>
                <c:pt idx="582">
                  <c:v>-11.496388501133943</c:v>
                </c:pt>
                <c:pt idx="583">
                  <c:v>-11.422265346892663</c:v>
                </c:pt>
                <c:pt idx="584">
                  <c:v>-11.349331799489018</c:v>
                </c:pt>
                <c:pt idx="585">
                  <c:v>-11.277533120920223</c:v>
                </c:pt>
                <c:pt idx="586">
                  <c:v>-11.206813936675653</c:v>
                </c:pt>
                <c:pt idx="587">
                  <c:v>-11.137118050408118</c:v>
                </c:pt>
                <c:pt idx="588">
                  <c:v>-11.068388244795536</c:v>
                </c:pt>
                <c:pt idx="589">
                  <c:v>-11.000566066740468</c:v>
                </c:pt>
                <c:pt idx="590">
                  <c:v>-10.933591594830657</c:v>
                </c:pt>
                <c:pt idx="591">
                  <c:v>-10.867403186727321</c:v>
                </c:pt>
                <c:pt idx="592">
                  <c:v>-10.801937203855282</c:v>
                </c:pt>
                <c:pt idx="593">
                  <c:v>-10.73712771043418</c:v>
                </c:pt>
                <c:pt idx="594">
                  <c:v>-10.672906143507603</c:v>
                </c:pt>
                <c:pt idx="595">
                  <c:v>-10.6092009501892</c:v>
                </c:pt>
                <c:pt idx="596">
                  <c:v>-10.545937187844602</c:v>
                </c:pt>
                <c:pt idx="597">
                  <c:v>-10.483036082355158</c:v>
                </c:pt>
                <c:pt idx="598">
                  <c:v>-10.420414538954555</c:v>
                </c:pt>
                <c:pt idx="599">
                  <c:v>-10.357984599379904</c:v>
                </c:pt>
                <c:pt idx="600">
                  <c:v>-10.295652838222068</c:v>
                </c:pt>
                <c:pt idx="601">
                  <c:v>-10.233319690380402</c:v>
                </c:pt>
                <c:pt idx="602">
                  <c:v>-10.170878700408901</c:v>
                </c:pt>
                <c:pt idx="603">
                  <c:v>-10.108215683265289</c:v>
                </c:pt>
                <c:pt idx="604">
                  <c:v>-10.045207784522622</c:v>
                </c:pt>
                <c:pt idx="605">
                  <c:v>-9.981722426454203</c:v>
                </c:pt>
                <c:pt idx="606">
                  <c:v>-9.9176161245356607</c:v>
                </c:pt>
                <c:pt idx="607">
                  <c:v>-9.852733156803243</c:v>
                </c:pt>
                <c:pt idx="608">
                  <c:v>-9.7869040661468993</c:v>
                </c:pt>
                <c:pt idx="609">
                  <c:v>-9.719943972988041</c:v>
                </c:pt>
                <c:pt idx="610">
                  <c:v>-9.6516506728919484</c:v>
                </c:pt>
                <c:pt idx="611">
                  <c:v>-9.5818024905047299</c:v>
                </c:pt>
                <c:pt idx="612">
                  <c:v>-9.5101558578202336</c:v>
                </c:pt>
                <c:pt idx="613">
                  <c:v>-9.4364425812429662</c:v>
                </c:pt>
                <c:pt idx="614">
                  <c:v>-9.3603667583421224</c:v>
                </c:pt>
                <c:pt idx="615">
                  <c:v>-9.2816013017879015</c:v>
                </c:pt>
                <c:pt idx="616">
                  <c:v>-9.1997840250325709</c:v>
                </c:pt>
                <c:pt idx="617">
                  <c:v>-9.1145132423080479</c:v>
                </c:pt>
                <c:pt idx="618">
                  <c:v>-9.0253428351392628</c:v>
                </c:pt>
                <c:pt idx="619">
                  <c:v>-8.9317767397978134</c:v>
                </c:pt>
                <c:pt idx="620">
                  <c:v>-8.8332628163353171</c:v>
                </c:pt>
                <c:pt idx="621">
                  <c:v>-8.7291860719861312</c:v>
                </c:pt>
                <c:pt idx="622">
                  <c:v>-8.6188612324998815</c:v>
                </c:pt>
                <c:pt idx="623">
                  <c:v>-8.5015246880017372</c:v>
                </c:pt>
                <c:pt idx="624">
                  <c:v>-8.3763258901534883</c:v>
                </c:pt>
                <c:pt idx="625">
                  <c:v>-8.2423183510733047</c:v>
                </c:pt>
                <c:pt idx="626">
                  <c:v>-8.0984504997924969</c:v>
                </c:pt>
                <c:pt idx="627">
                  <c:v>-7.9435567989927547</c:v>
                </c:pt>
                <c:pt idx="628">
                  <c:v>-7.7763497251141773</c:v>
                </c:pt>
                <c:pt idx="629">
                  <c:v>-7.5954134813911365</c:v>
                </c:pt>
                <c:pt idx="630">
                  <c:v>-7.3992006579602752</c:v>
                </c:pt>
                <c:pt idx="631">
                  <c:v>-7.1860334837489086</c:v>
                </c:pt>
                <c:pt idx="632">
                  <c:v>-6.9541118291659458</c:v>
                </c:pt>
                <c:pt idx="633">
                  <c:v>-6.7015306949116482</c:v>
                </c:pt>
                <c:pt idx="634">
                  <c:v>-6.4263105054180727</c:v>
                </c:pt>
                <c:pt idx="635">
                  <c:v>-6.126444009201343</c:v>
                </c:pt>
                <c:pt idx="636">
                  <c:v>-5.7999637954605809</c:v>
                </c:pt>
                <c:pt idx="637">
                  <c:v>-5.4450341035379468</c:v>
                </c:pt>
                <c:pt idx="638">
                  <c:v>-5.0600693839309105</c:v>
                </c:pt>
                <c:pt idx="639">
                  <c:v>-4.6438795812766793</c:v>
                </c:pt>
                <c:pt idx="640">
                  <c:v>-4.1958380337799124</c:v>
                </c:pt>
                <c:pt idx="641">
                  <c:v>-3.7160621607084634</c:v>
                </c:pt>
                <c:pt idx="642">
                  <c:v>-3.2055901970597445</c:v>
                </c:pt>
                <c:pt idx="643">
                  <c:v>-2.6665303518924901</c:v>
                </c:pt>
                <c:pt idx="644">
                  <c:v>-2.1021539643168969</c:v>
                </c:pt>
                <c:pt idx="645">
                  <c:v>-1.5169040664596576</c:v>
                </c:pt>
                <c:pt idx="646">
                  <c:v>-0.91629745441200394</c:v>
                </c:pt>
                <c:pt idx="647">
                  <c:v>-0.30671257087798548</c:v>
                </c:pt>
                <c:pt idx="648">
                  <c:v>0.304924750786844</c:v>
                </c:pt>
                <c:pt idx="649">
                  <c:v>0.91152504659776734</c:v>
                </c:pt>
                <c:pt idx="650">
                  <c:v>1.5062405394269267</c:v>
                </c:pt>
                <c:pt idx="651">
                  <c:v>2.0828391106170319</c:v>
                </c:pt>
                <c:pt idx="652">
                  <c:v>2.636001149060089</c:v>
                </c:pt>
                <c:pt idx="653">
                  <c:v>3.1615102492790728</c:v>
                </c:pt>
                <c:pt idx="654">
                  <c:v>3.6563296285146958</c:v>
                </c:pt>
                <c:pt idx="655">
                  <c:v>4.1185751594833189</c:v>
                </c:pt>
                <c:pt idx="656">
                  <c:v>4.5474088057226432</c:v>
                </c:pt>
                <c:pt idx="657">
                  <c:v>4.9428815574975893</c:v>
                </c:pt>
                <c:pt idx="658">
                  <c:v>5.305753736899236</c:v>
                </c:pt>
                <c:pt idx="659">
                  <c:v>5.6373151439886575</c:v>
                </c:pt>
                <c:pt idx="660">
                  <c:v>5.939220471011291</c:v>
                </c:pt>
                <c:pt idx="661">
                  <c:v>6.2133486314008453</c:v>
                </c:pt>
                <c:pt idx="662">
                  <c:v>6.4616892028836173</c:v>
                </c:pt>
                <c:pt idx="663">
                  <c:v>6.6862554107753596</c:v>
                </c:pt>
                <c:pt idx="664">
                  <c:v>6.8890208519884863</c:v>
                </c:pt>
                <c:pt idx="665">
                  <c:v>7.0718761385078315</c:v>
                </c:pt>
                <c:pt idx="666">
                  <c:v>7.2366014355141317</c:v>
                </c:pt>
                <c:pt idx="667">
                  <c:v>7.3848511505547485</c:v>
                </c:pt>
                <c:pt idx="668">
                  <c:v>7.5181475486115872</c:v>
                </c:pt>
                <c:pt idx="669">
                  <c:v>7.6378806604038827</c:v>
                </c:pt>
                <c:pt idx="670">
                  <c:v>7.7453124223309056</c:v>
                </c:pt>
                <c:pt idx="671">
                  <c:v>7.8415834885139395</c:v>
                </c:pt>
                <c:pt idx="672">
                  <c:v>7.9277215713540059</c:v>
                </c:pt>
                <c:pt idx="673">
                  <c:v>8.004650497300581</c:v>
                </c:pt>
                <c:pt idx="674">
                  <c:v>8.0731994182801472</c:v>
                </c:pt>
                <c:pt idx="675">
                  <c:v>8.1341118089360656</c:v>
                </c:pt>
                <c:pt idx="676">
                  <c:v>8.1880540182383577</c:v>
                </c:pt>
                <c:pt idx="677">
                  <c:v>8.2356232426621983</c:v>
                </c:pt>
                <c:pt idx="678">
                  <c:v>8.2773548567231536</c:v>
                </c:pt>
                <c:pt idx="679">
                  <c:v>8.3137290830176802</c:v>
                </c:pt>
                <c:pt idx="680">
                  <c:v>8.3451770141457473</c:v>
                </c:pt>
                <c:pt idx="681">
                  <c:v>8.3720860176249428</c:v>
                </c:pt>
                <c:pt idx="682">
                  <c:v>8.3948045655986157</c:v>
                </c:pt>
                <c:pt idx="683">
                  <c:v>8.4136465363300488</c:v>
                </c:pt>
                <c:pt idx="684">
                  <c:v>8.428895035990946</c:v>
                </c:pt>
                <c:pt idx="685">
                  <c:v>8.440805788400187</c:v>
                </c:pt>
                <c:pt idx="686">
                  <c:v>8.4496101380629991</c:v>
                </c:pt>
                <c:pt idx="687">
                  <c:v>8.455517708732863</c:v>
                </c:pt>
                <c:pt idx="688">
                  <c:v>8.4587187561969905</c:v>
                </c:pt>
                <c:pt idx="689">
                  <c:v>8.4593862503533082</c:v>
                </c:pt>
                <c:pt idx="690">
                  <c:v>8.45767771808368</c:v>
                </c:pt>
                <c:pt idx="691">
                  <c:v>8.4537368750438002</c:v>
                </c:pt>
                <c:pt idx="692">
                  <c:v>8.4476950713466987</c:v>
                </c:pt>
                <c:pt idx="693">
                  <c:v>8.4396725732418609</c:v>
                </c:pt>
                <c:pt idx="694">
                  <c:v>8.4297797002937696</c:v>
                </c:pt>
                <c:pt idx="695">
                  <c:v>8.4181178352352379</c:v>
                </c:pt>
                <c:pt idx="696">
                  <c:v>8.4047803215981851</c:v>
                </c:pt>
                <c:pt idx="697">
                  <c:v>8.3898532623886837</c:v>
                </c:pt>
                <c:pt idx="698">
                  <c:v>8.3734162314530476</c:v>
                </c:pt>
                <c:pt idx="699">
                  <c:v>8.3555429077565169</c:v>
                </c:pt>
                <c:pt idx="700">
                  <c:v>8.3363016415447593</c:v>
                </c:pt>
                <c:pt idx="701">
                  <c:v>8.3157559602615549</c:v>
                </c:pt>
                <c:pt idx="702">
                  <c:v>8.2939650211357367</c:v>
                </c:pt>
                <c:pt idx="703">
                  <c:v>8.2709840165101962</c:v>
                </c:pt>
                <c:pt idx="704">
                  <c:v>8.2468645372508433</c:v>
                </c:pt>
                <c:pt idx="705">
                  <c:v>8.2216548989308915</c:v>
                </c:pt>
                <c:pt idx="706">
                  <c:v>8.195400434923835</c:v>
                </c:pt>
                <c:pt idx="707">
                  <c:v>8.1681437600469486</c:v>
                </c:pt>
                <c:pt idx="708">
                  <c:v>8.1399250079669851</c:v>
                </c:pt>
                <c:pt idx="709">
                  <c:v>8.110782045203198</c:v>
                </c:pt>
                <c:pt idx="710">
                  <c:v>8.0807506642328555</c:v>
                </c:pt>
                <c:pt idx="711">
                  <c:v>8.0498647579152056</c:v>
                </c:pt>
                <c:pt idx="712">
                  <c:v>8.0181564771961487</c:v>
                </c:pt>
                <c:pt idx="713">
                  <c:v>7.9856563738329296</c:v>
                </c:pt>
                <c:pt idx="714">
                  <c:v>7.9523935296824879</c:v>
                </c:pt>
                <c:pt idx="715">
                  <c:v>7.9183956739246888</c:v>
                </c:pt>
                <c:pt idx="716">
                  <c:v>7.8836892894400616</c:v>
                </c:pt>
                <c:pt idx="717">
                  <c:v>7.8482997094279181</c:v>
                </c:pt>
                <c:pt idx="718">
                  <c:v>7.8122512052327737</c:v>
                </c:pt>
                <c:pt idx="719">
                  <c:v>7.7755670662427665</c:v>
                </c:pt>
                <c:pt idx="720">
                  <c:v>7.7382696726317262</c:v>
                </c:pt>
                <c:pt idx="721">
                  <c:v>7.7003805616348755</c:v>
                </c:pt>
                <c:pt idx="722">
                  <c:v>7.6619204879760341</c:v>
                </c:pt>
                <c:pt idx="723">
                  <c:v>7.622909479000068</c:v>
                </c:pt>
                <c:pt idx="724">
                  <c:v>7.583366885007365</c:v>
                </c:pt>
                <c:pt idx="725">
                  <c:v>7.5433114252366984</c:v>
                </c:pt>
                <c:pt idx="726">
                  <c:v>7.5027612298976729</c:v>
                </c:pt>
                <c:pt idx="727">
                  <c:v>7.4617338786139777</c:v>
                </c:pt>
                <c:pt idx="728">
                  <c:v>7.4202464356029108</c:v>
                </c:pt>
                <c:pt idx="729">
                  <c:v>7.3783154818846803</c:v>
                </c:pt>
                <c:pt idx="730">
                  <c:v>7.3359571447865415</c:v>
                </c:pt>
                <c:pt idx="731">
                  <c:v>7.2931871249813147</c:v>
                </c:pt>
                <c:pt idx="732">
                  <c:v>7.2500207212769583</c:v>
                </c:pt>
                <c:pt idx="733">
                  <c:v>7.206472853353457</c:v>
                </c:pt>
                <c:pt idx="734">
                  <c:v>7.1625580826248836</c:v>
                </c:pt>
                <c:pt idx="735">
                  <c:v>7.118290631388005</c:v>
                </c:pt>
                <c:pt idx="736">
                  <c:v>7.0736844004040069</c:v>
                </c:pt>
                <c:pt idx="737">
                  <c:v>7.0287529850465038</c:v>
                </c:pt>
                <c:pt idx="738">
                  <c:v>6.9835096901370601</c:v>
                </c:pt>
                <c:pt idx="739">
                  <c:v>6.9379675435785124</c:v>
                </c:pt>
                <c:pt idx="740">
                  <c:v>6.8921393088867156</c:v>
                </c:pt>
                <c:pt idx="741">
                  <c:v>6.8460374967123547</c:v>
                </c:pt>
                <c:pt idx="742">
                  <c:v>6.7996743754366324</c:v>
                </c:pt>
                <c:pt idx="743">
                  <c:v>6.753061980917245</c:v>
                </c:pt>
                <c:pt idx="744">
                  <c:v>6.7062121254546412</c:v>
                </c:pt>
                <c:pt idx="745">
                  <c:v>6.6591364060425455</c:v>
                </c:pt>
                <c:pt idx="746">
                  <c:v>6.6118462119612866</c:v>
                </c:pt>
                <c:pt idx="747">
                  <c:v>6.5643527317677313</c:v>
                </c:pt>
                <c:pt idx="748">
                  <c:v>6.5166669597309559</c:v>
                </c:pt>
                <c:pt idx="749">
                  <c:v>6.4687997017589343</c:v>
                </c:pt>
                <c:pt idx="750">
                  <c:v>6.4207615808576488</c:v>
                </c:pt>
                <c:pt idx="751">
                  <c:v>6.3725630421608077</c:v>
                </c:pt>
                <c:pt idx="752">
                  <c:v>6.3242143575651824</c:v>
                </c:pt>
                <c:pt idx="753">
                  <c:v>6.2757256300038362</c:v>
                </c:pt>
                <c:pt idx="754">
                  <c:v>6.2271067973868846</c:v>
                </c:pt>
                <c:pt idx="755">
                  <c:v>6.1783676362371542</c:v>
                </c:pt>
                <c:pt idx="756">
                  <c:v>6.1295177650458932</c:v>
                </c:pt>
                <c:pt idx="757">
                  <c:v>6.0805666473717936</c:v>
                </c:pt>
                <c:pt idx="758">
                  <c:v>6.0315235947046464</c:v>
                </c:pt>
                <c:pt idx="759">
                  <c:v>5.9823977691135051</c:v>
                </c:pt>
                <c:pt idx="760">
                  <c:v>5.9331981856974867</c:v>
                </c:pt>
                <c:pt idx="761">
                  <c:v>5.883933714856072</c:v>
                </c:pt>
                <c:pt idx="762">
                  <c:v>5.8346130843945154</c:v>
                </c:pt>
                <c:pt idx="763">
                  <c:v>5.7852448814786062</c:v>
                </c:pt>
                <c:pt idx="764">
                  <c:v>5.735837554452182</c:v>
                </c:pt>
                <c:pt idx="765">
                  <c:v>5.6863994145295518</c:v>
                </c:pt>
                <c:pt idx="766">
                  <c:v>5.6369386373742776</c:v>
                </c:pt>
                <c:pt idx="767">
                  <c:v>5.5874632645746685</c:v>
                </c:pt>
                <c:pt idx="768">
                  <c:v>5.5379812050258188</c:v>
                </c:pt>
                <c:pt idx="769">
                  <c:v>5.4885002362270132</c:v>
                </c:pt>
                <c:pt idx="770">
                  <c:v>5.4390280055029203</c:v>
                </c:pt>
                <c:pt idx="771">
                  <c:v>5.389572031156078</c:v>
                </c:pt>
                <c:pt idx="772">
                  <c:v>5.3401397035579157</c:v>
                </c:pt>
                <c:pt idx="773">
                  <c:v>5.2907382861847054</c:v>
                </c:pt>
                <c:pt idx="774">
                  <c:v>5.2413749166045607</c:v>
                </c:pt>
                <c:pt idx="775">
                  <c:v>5.1920566074210628</c:v>
                </c:pt>
                <c:pt idx="776">
                  <c:v>5.1427902471785991</c:v>
                </c:pt>
                <c:pt idx="777">
                  <c:v>5.0935826012342584</c:v>
                </c:pt>
                <c:pt idx="778">
                  <c:v>5.0444403126005684</c:v>
                </c:pt>
                <c:pt idx="779">
                  <c:v>4.9953699027631462</c:v>
                </c:pt>
                <c:pt idx="780">
                  <c:v>4.9463777724770237</c:v>
                </c:pt>
                <c:pt idx="781">
                  <c:v>4.8974702025449508</c:v>
                </c:pt>
                <c:pt idx="782">
                  <c:v>4.8486533545809118</c:v>
                </c:pt>
                <c:pt idx="783">
                  <c:v>4.7999332717616801</c:v>
                </c:pt>
                <c:pt idx="784">
                  <c:v>4.7513158795690735</c:v>
                </c:pt>
                <c:pt idx="785">
                  <c:v>4.7028069865252915</c:v>
                </c:pt>
                <c:pt idx="786">
                  <c:v>4.6544122849235432</c:v>
                </c:pt>
                <c:pt idx="787">
                  <c:v>4.6061373515560327</c:v>
                </c:pt>
                <c:pt idx="788">
                  <c:v>4.557987648440986</c:v>
                </c:pt>
                <c:pt idx="789">
                  <c:v>4.5099685235505387</c:v>
                </c:pt>
                <c:pt idx="790">
                  <c:v>4.4620852115408507</c:v>
                </c:pt>
                <c:pt idx="791">
                  <c:v>4.4143428344858595</c:v>
                </c:pt>
                <c:pt idx="792">
                  <c:v>4.3667464026158607</c:v>
                </c:pt>
                <c:pt idx="793">
                  <c:v>4.3193008150619976</c:v>
                </c:pt>
                <c:pt idx="794">
                  <c:v>4.2720108606076277</c:v>
                </c:pt>
                <c:pt idx="795">
                  <c:v>4.2248812184473969</c:v>
                </c:pt>
                <c:pt idx="796">
                  <c:v>4.1779164589547788</c:v>
                </c:pt>
                <c:pt idx="797">
                  <c:v>4.131121044458709</c:v>
                </c:pt>
                <c:pt idx="798">
                  <c:v>4.0844993300299048</c:v>
                </c:pt>
                <c:pt idx="799">
                  <c:v>4.0380555642772809</c:v>
                </c:pt>
                <c:pt idx="800">
                  <c:v>3.9917938901549217</c:v>
                </c:pt>
                <c:pt idx="801">
                  <c:v>3.945718345779853</c:v>
                </c:pt>
                <c:pt idx="802">
                  <c:v>3.8998328652609526</c:v>
                </c:pt>
                <c:pt idx="803">
                  <c:v>3.8541412795390713</c:v>
                </c:pt>
                <c:pt idx="804">
                  <c:v>3.8086473172386155</c:v>
                </c:pt>
                <c:pt idx="805">
                  <c:v>3.7633546055305604</c:v>
                </c:pt>
                <c:pt idx="806">
                  <c:v>3.7182666710069734</c:v>
                </c:pt>
                <c:pt idx="807">
                  <c:v>3.6733869405670232</c:v>
                </c:pt>
                <c:pt idx="808">
                  <c:v>3.6287187423143363</c:v>
                </c:pt>
                <c:pt idx="809">
                  <c:v>3.5842653064657144</c:v>
                </c:pt>
                <c:pt idx="810">
                  <c:v>3.5400297662709246</c:v>
                </c:pt>
                <c:pt idx="811">
                  <c:v>3.4960151589435124</c:v>
                </c:pt>
                <c:pt idx="812">
                  <c:v>3.4522244266023243</c:v>
                </c:pt>
                <c:pt idx="813">
                  <c:v>3.4086604172235662</c:v>
                </c:pt>
                <c:pt idx="814">
                  <c:v>3.3653258856030837</c:v>
                </c:pt>
                <c:pt idx="815">
                  <c:v>3.3222234943286226</c:v>
                </c:pt>
                <c:pt idx="816">
                  <c:v>3.2793558147617281</c:v>
                </c:pt>
                <c:pt idx="817">
                  <c:v>3.2367253280289034</c:v>
                </c:pt>
                <c:pt idx="818">
                  <c:v>3.1943344260218076</c:v>
                </c:pt>
                <c:pt idx="819">
                  <c:v>3.1521854124060047</c:v>
                </c:pt>
                <c:pt idx="820">
                  <c:v>3.1102805036379149</c:v>
                </c:pt>
                <c:pt idx="821">
                  <c:v>3.0686218299896115</c:v>
                </c:pt>
                <c:pt idx="822">
                  <c:v>3.0272114365810507</c:v>
                </c:pt>
                <c:pt idx="823">
                  <c:v>2.9860512844192773</c:v>
                </c:pt>
                <c:pt idx="824">
                  <c:v>2.9451432514442404</c:v>
                </c:pt>
                <c:pt idx="825">
                  <c:v>2.9044891335807668</c:v>
                </c:pt>
                <c:pt idx="826">
                  <c:v>2.8640906457962512</c:v>
                </c:pt>
                <c:pt idx="827">
                  <c:v>2.8239494231636533</c:v>
                </c:pt>
                <c:pt idx="828">
                  <c:v>2.7840670219293351</c:v>
                </c:pt>
                <c:pt idx="829">
                  <c:v>2.7444449205853054</c:v>
                </c:pt>
                <c:pt idx="830">
                  <c:v>2.7050845209454302</c:v>
                </c:pt>
                <c:pt idx="831">
                  <c:v>2.6659871492251597</c:v>
                </c:pt>
                <c:pt idx="832">
                  <c:v>2.6271540571243328</c:v>
                </c:pt>
                <c:pt idx="833">
                  <c:v>2.5885864229126136</c:v>
                </c:pt>
                <c:pt idx="834">
                  <c:v>2.5502853525170819</c:v>
                </c:pt>
                <c:pt idx="835">
                  <c:v>2.5122518806116387</c:v>
                </c:pt>
                <c:pt idx="836">
                  <c:v>2.4744869717076616</c:v>
                </c:pt>
                <c:pt idx="837">
                  <c:v>2.4369915212455728</c:v>
                </c:pt>
                <c:pt idx="838">
                  <c:v>2.3997663566868592</c:v>
                </c:pt>
                <c:pt idx="839">
                  <c:v>2.3628122386061099</c:v>
                </c:pt>
                <c:pt idx="840">
                  <c:v>2.3261298617826904</c:v>
                </c:pt>
                <c:pt idx="841">
                  <c:v>2.289719856291569</c:v>
                </c:pt>
                <c:pt idx="842">
                  <c:v>2.2535827885930058</c:v>
                </c:pt>
                <c:pt idx="843">
                  <c:v>2.2177191626205568</c:v>
                </c:pt>
                <c:pt idx="844">
                  <c:v>2.1821294208671693</c:v>
                </c:pt>
                <c:pt idx="845">
                  <c:v>2.1468139454688222</c:v>
                </c:pt>
                <c:pt idx="846">
                  <c:v>2.1117730592854356</c:v>
                </c:pt>
                <c:pt idx="847">
                  <c:v>2.0770070269786434</c:v>
                </c:pt>
                <c:pt idx="848">
                  <c:v>2.0425160560860895</c:v>
                </c:pt>
                <c:pt idx="849">
                  <c:v>2.008300298091882</c:v>
                </c:pt>
                <c:pt idx="850">
                  <c:v>1.9743598494927816</c:v>
                </c:pt>
                <c:pt idx="851">
                  <c:v>1.9406947528599954</c:v>
                </c:pt>
                <c:pt idx="852">
                  <c:v>1.907304997895988</c:v>
                </c:pt>
                <c:pt idx="853">
                  <c:v>1.8741905224861855</c:v>
                </c:pt>
                <c:pt idx="854">
                  <c:v>1.8413512137451988</c:v>
                </c:pt>
                <c:pt idx="855">
                  <c:v>1.8087869090571909</c:v>
                </c:pt>
                <c:pt idx="856">
                  <c:v>1.7764973971102673</c:v>
                </c:pt>
                <c:pt idx="857">
                  <c:v>1.7444824189244024</c:v>
                </c:pt>
                <c:pt idx="858">
                  <c:v>1.7127416688728196</c:v>
                </c:pt>
                <c:pt idx="859">
                  <c:v>1.6812747956963907</c:v>
                </c:pt>
                <c:pt idx="860">
                  <c:v>1.6500814035109386</c:v>
                </c:pt>
                <c:pt idx="861">
                  <c:v>1.6191610528071116</c:v>
                </c:pt>
                <c:pt idx="862">
                  <c:v>1.5885132614426247</c:v>
                </c:pt>
                <c:pt idx="863">
                  <c:v>1.5581375056266094</c:v>
                </c:pt>
                <c:pt idx="864">
                  <c:v>1.5280332208959475</c:v>
                </c:pt>
                <c:pt idx="865">
                  <c:v>1.4981998030832067</c:v>
                </c:pt>
                <c:pt idx="866">
                  <c:v>1.4686366092761727</c:v>
                </c:pt>
                <c:pt idx="867">
                  <c:v>1.4393429587686501</c:v>
                </c:pt>
                <c:pt idx="868">
                  <c:v>1.4103181340024076</c:v>
                </c:pt>
                <c:pt idx="869">
                  <c:v>1.3815613815000471</c:v>
                </c:pt>
                <c:pt idx="870">
                  <c:v>1.3530719127887263</c:v>
                </c:pt>
                <c:pt idx="871">
                  <c:v>1.3248489053144592</c:v>
                </c:pt>
                <c:pt idx="872">
                  <c:v>1.2968915033469433</c:v>
                </c:pt>
                <c:pt idx="873">
                  <c:v>1.2691988188746972</c:v>
                </c:pt>
                <c:pt idx="874">
                  <c:v>1.2417699324904685</c:v>
                </c:pt>
                <c:pt idx="875">
                  <c:v>1.2146038942666646</c:v>
                </c:pt>
                <c:pt idx="876">
                  <c:v>1.1876997246208525</c:v>
                </c:pt>
                <c:pt idx="877">
                  <c:v>1.1610564151710534</c:v>
                </c:pt>
                <c:pt idx="878">
                  <c:v>1.1346729295808267</c:v>
                </c:pt>
                <c:pt idx="879">
                  <c:v>1.1085482043940935</c:v>
                </c:pt>
                <c:pt idx="880">
                  <c:v>1.0826811498594822</c:v>
                </c:pt>
                <c:pt idx="881">
                  <c:v>1.0826555783399741</c:v>
                </c:pt>
                <c:pt idx="882">
                  <c:v>1.0826300070740462</c:v>
                </c:pt>
                <c:pt idx="883">
                  <c:v>1.0826044360616862</c:v>
                </c:pt>
                <c:pt idx="884">
                  <c:v>1.0825788653029083</c:v>
                </c:pt>
                <c:pt idx="885">
                  <c:v>1.0825532947977035</c:v>
                </c:pt>
                <c:pt idx="886">
                  <c:v>1.0825277245460647</c:v>
                </c:pt>
                <c:pt idx="887">
                  <c:v>1.0825021545479991</c:v>
                </c:pt>
                <c:pt idx="888">
                  <c:v>1.0824765848035085</c:v>
                </c:pt>
                <c:pt idx="889">
                  <c:v>1.0824510153125839</c:v>
                </c:pt>
                <c:pt idx="890">
                  <c:v>1.0824254460752201</c:v>
                </c:pt>
                <c:pt idx="891">
                  <c:v>1.0823998770914329</c:v>
                </c:pt>
                <c:pt idx="892">
                  <c:v>1.0823743083612065</c:v>
                </c:pt>
                <c:pt idx="893">
                  <c:v>1.0823487398845479</c:v>
                </c:pt>
                <c:pt idx="894">
                  <c:v>1.0823231716614536</c:v>
                </c:pt>
                <c:pt idx="895">
                  <c:v>1.0822976036919183</c:v>
                </c:pt>
                <c:pt idx="896">
                  <c:v>1.0822720359759455</c:v>
                </c:pt>
                <c:pt idx="897">
                  <c:v>1.0822464685135333</c:v>
                </c:pt>
                <c:pt idx="898">
                  <c:v>1.0822209013046784</c:v>
                </c:pt>
                <c:pt idx="899">
                  <c:v>1.0821953343493824</c:v>
                </c:pt>
                <c:pt idx="900">
                  <c:v>1.0821697676476401</c:v>
                </c:pt>
                <c:pt idx="901">
                  <c:v>1.0821442011994531</c:v>
                </c:pt>
                <c:pt idx="902">
                  <c:v>1.0821186350048233</c:v>
                </c:pt>
                <c:pt idx="903">
                  <c:v>1.0820930690637454</c:v>
                </c:pt>
                <c:pt idx="904">
                  <c:v>1.082067503376221</c:v>
                </c:pt>
                <c:pt idx="905">
                  <c:v>1.0820419379422486</c:v>
                </c:pt>
                <c:pt idx="906">
                  <c:v>1.0820163727618279</c:v>
                </c:pt>
                <c:pt idx="907">
                  <c:v>1.0819908078349538</c:v>
                </c:pt>
                <c:pt idx="908">
                  <c:v>1.0819652431616227</c:v>
                </c:pt>
                <c:pt idx="909">
                  <c:v>1.0819396787418452</c:v>
                </c:pt>
                <c:pt idx="910">
                  <c:v>1.0819141145756141</c:v>
                </c:pt>
                <c:pt idx="911">
                  <c:v>1.0818885506629226</c:v>
                </c:pt>
                <c:pt idx="912">
                  <c:v>1.0818629870037775</c:v>
                </c:pt>
                <c:pt idx="913">
                  <c:v>1.0818374235981754</c:v>
                </c:pt>
                <c:pt idx="914">
                  <c:v>1.0818118604461109</c:v>
                </c:pt>
                <c:pt idx="915">
                  <c:v>1.0817862975475894</c:v>
                </c:pt>
                <c:pt idx="916">
                  <c:v>1.0817607349026019</c:v>
                </c:pt>
                <c:pt idx="917">
                  <c:v>1.0817351725111575</c:v>
                </c:pt>
                <c:pt idx="918">
                  <c:v>1.0817096103732471</c:v>
                </c:pt>
                <c:pt idx="919">
                  <c:v>1.0816840484888743</c:v>
                </c:pt>
                <c:pt idx="920">
                  <c:v>1.0816584868580339</c:v>
                </c:pt>
                <c:pt idx="921">
                  <c:v>1.0816329254807258</c:v>
                </c:pt>
                <c:pt idx="922">
                  <c:v>1.0816073643569517</c:v>
                </c:pt>
                <c:pt idx="923">
                  <c:v>1.0815818034867064</c:v>
                </c:pt>
                <c:pt idx="924">
                  <c:v>1.0815562428699934</c:v>
                </c:pt>
                <c:pt idx="925">
                  <c:v>1.0815306825068092</c:v>
                </c:pt>
                <c:pt idx="926">
                  <c:v>1.0815051223971519</c:v>
                </c:pt>
                <c:pt idx="927">
                  <c:v>1.0814795625410216</c:v>
                </c:pt>
                <c:pt idx="928">
                  <c:v>1.0814540029384148</c:v>
                </c:pt>
                <c:pt idx="929">
                  <c:v>1.0814284435893331</c:v>
                </c:pt>
                <c:pt idx="930">
                  <c:v>1.0814028844937731</c:v>
                </c:pt>
                <c:pt idx="931">
                  <c:v>1.0813773256517347</c:v>
                </c:pt>
                <c:pt idx="932">
                  <c:v>1.0813517670632198</c:v>
                </c:pt>
                <c:pt idx="933">
                  <c:v>1.0813262087282247</c:v>
                </c:pt>
                <c:pt idx="934">
                  <c:v>1.081300650646746</c:v>
                </c:pt>
                <c:pt idx="935">
                  <c:v>1.0812750928187906</c:v>
                </c:pt>
                <c:pt idx="936">
                  <c:v>1.0812495352443463</c:v>
                </c:pt>
                <c:pt idx="937">
                  <c:v>1.0812239779234147</c:v>
                </c:pt>
                <c:pt idx="938">
                  <c:v>1.0811984208560101</c:v>
                </c:pt>
                <c:pt idx="939">
                  <c:v>1.0811728640421094</c:v>
                </c:pt>
                <c:pt idx="940">
                  <c:v>1.0811473074817215</c:v>
                </c:pt>
                <c:pt idx="941">
                  <c:v>1.081121751174841</c:v>
                </c:pt>
                <c:pt idx="942">
                  <c:v>1.081096195121475</c:v>
                </c:pt>
                <c:pt idx="943">
                  <c:v>1.0810706393216183</c:v>
                </c:pt>
                <c:pt idx="944">
                  <c:v>1.0810450837752636</c:v>
                </c:pt>
                <c:pt idx="945">
                  <c:v>1.0810195284824218</c:v>
                </c:pt>
                <c:pt idx="946">
                  <c:v>1.0809939734430856</c:v>
                </c:pt>
                <c:pt idx="947">
                  <c:v>1.080968418657255</c:v>
                </c:pt>
                <c:pt idx="948">
                  <c:v>1.0809428641249212</c:v>
                </c:pt>
                <c:pt idx="949">
                  <c:v>1.0809173098460896</c:v>
                </c:pt>
                <c:pt idx="950">
                  <c:v>1.0808917558207618</c:v>
                </c:pt>
                <c:pt idx="951">
                  <c:v>1.0808662020489308</c:v>
                </c:pt>
                <c:pt idx="952">
                  <c:v>1.0808406485306019</c:v>
                </c:pt>
                <c:pt idx="953">
                  <c:v>1.0808150952657645</c:v>
                </c:pt>
                <c:pt idx="954">
                  <c:v>1.0807895422544291</c:v>
                </c:pt>
                <c:pt idx="955">
                  <c:v>1.0807639894965924</c:v>
                </c:pt>
                <c:pt idx="956">
                  <c:v>1.0807384369922435</c:v>
                </c:pt>
                <c:pt idx="957">
                  <c:v>1.0807128847413896</c:v>
                </c:pt>
                <c:pt idx="958">
                  <c:v>1.0806873327440307</c:v>
                </c:pt>
                <c:pt idx="959">
                  <c:v>1.080661781000158</c:v>
                </c:pt>
                <c:pt idx="960">
                  <c:v>1.0806362295097749</c:v>
                </c:pt>
                <c:pt idx="961">
                  <c:v>1.0806106782728815</c:v>
                </c:pt>
                <c:pt idx="962">
                  <c:v>1.0805851272894724</c:v>
                </c:pt>
                <c:pt idx="963">
                  <c:v>1.0805595765595513</c:v>
                </c:pt>
                <c:pt idx="964">
                  <c:v>1.0805340260831198</c:v>
                </c:pt>
                <c:pt idx="965">
                  <c:v>1.0805084758601673</c:v>
                </c:pt>
                <c:pt idx="966">
                  <c:v>1.0804829258907045</c:v>
                </c:pt>
                <c:pt idx="967">
                  <c:v>1.0804573761747207</c:v>
                </c:pt>
                <c:pt idx="968">
                  <c:v>1.0804318267122124</c:v>
                </c:pt>
                <c:pt idx="969">
                  <c:v>1.080406277503192</c:v>
                </c:pt>
                <c:pt idx="970">
                  <c:v>1.0803807285476399</c:v>
                </c:pt>
                <c:pt idx="971">
                  <c:v>1.0803551798455757</c:v>
                </c:pt>
                <c:pt idx="972">
                  <c:v>1.0803296313969835</c:v>
                </c:pt>
                <c:pt idx="973">
                  <c:v>1.0803040832018649</c:v>
                </c:pt>
                <c:pt idx="974">
                  <c:v>1.0802785352602253</c:v>
                </c:pt>
                <c:pt idx="975">
                  <c:v>1.0802529875720488</c:v>
                </c:pt>
                <c:pt idx="976">
                  <c:v>1.0802274401373513</c:v>
                </c:pt>
                <c:pt idx="977">
                  <c:v>1.0802018929561239</c:v>
                </c:pt>
                <c:pt idx="978">
                  <c:v>1.0801763460283702</c:v>
                </c:pt>
                <c:pt idx="979">
                  <c:v>1.080150799354076</c:v>
                </c:pt>
                <c:pt idx="980">
                  <c:v>1.0801252529332537</c:v>
                </c:pt>
                <c:pt idx="981">
                  <c:v>1.0800997067658962</c:v>
                </c:pt>
                <c:pt idx="982">
                  <c:v>1.0800741608520035</c:v>
                </c:pt>
                <c:pt idx="983">
                  <c:v>1.0800486151915809</c:v>
                </c:pt>
                <c:pt idx="984">
                  <c:v>1.0800230697846089</c:v>
                </c:pt>
                <c:pt idx="985">
                  <c:v>1.0799975246311071</c:v>
                </c:pt>
                <c:pt idx="986">
                  <c:v>1.0799719797310683</c:v>
                </c:pt>
                <c:pt idx="987">
                  <c:v>1.0799464350844836</c:v>
                </c:pt>
                <c:pt idx="988">
                  <c:v>1.079920890691362</c:v>
                </c:pt>
                <c:pt idx="989">
                  <c:v>1.0798953465516963</c:v>
                </c:pt>
                <c:pt idx="990">
                  <c:v>1.0798698026654865</c:v>
                </c:pt>
                <c:pt idx="991">
                  <c:v>1.0798442590327255</c:v>
                </c:pt>
                <c:pt idx="992">
                  <c:v>1.0798187156534276</c:v>
                </c:pt>
                <c:pt idx="993">
                  <c:v>1.0797931725275767</c:v>
                </c:pt>
                <c:pt idx="994">
                  <c:v>1.0797676296551852</c:v>
                </c:pt>
                <c:pt idx="995">
                  <c:v>1.0797420870362373</c:v>
                </c:pt>
                <c:pt idx="996">
                  <c:v>1.0797165446707364</c:v>
                </c:pt>
                <c:pt idx="997">
                  <c:v>1.0796910025586914</c:v>
                </c:pt>
                <c:pt idx="998">
                  <c:v>1.0796654607000864</c:v>
                </c:pt>
                <c:pt idx="999">
                  <c:v>1.0796399190949355</c:v>
                </c:pt>
                <c:pt idx="1000">
                  <c:v>1.079614377743221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4C-DF48-ADA1-B093CE44BC66}"/>
            </c:ext>
          </c:extLst>
        </c:ser>
        <c:ser>
          <c:idx val="1"/>
          <c:order val="1"/>
          <c:tx>
            <c:strRef>
              <c:f>Courbes!$B$138</c:f>
              <c:strCache>
                <c:ptCount val="1"/>
                <c:pt idx="0">
                  <c:v>Charge vue par un capteur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Calculs!$AH$4:$AH$1004</c:f>
              <c:numCache>
                <c:formatCode>0.00</c:formatCode>
                <c:ptCount val="1001"/>
                <c:pt idx="0">
                  <c:v>0</c:v>
                </c:pt>
                <c:pt idx="1">
                  <c:v>17.162373763873944</c:v>
                </c:pt>
                <c:pt idx="2">
                  <c:v>36.096980441833928</c:v>
                </c:pt>
                <c:pt idx="3">
                  <c:v>43.956023266929222</c:v>
                </c:pt>
                <c:pt idx="4">
                  <c:v>51.820468927454343</c:v>
                </c:pt>
                <c:pt idx="5">
                  <c:v>59.691184339109633</c:v>
                </c:pt>
                <c:pt idx="6">
                  <c:v>67.56902366725059</c:v>
                </c:pt>
                <c:pt idx="7">
                  <c:v>75.454828589892543</c:v>
                </c:pt>
                <c:pt idx="8">
                  <c:v>83.349428546102857</c:v>
                </c:pt>
                <c:pt idx="9">
                  <c:v>91.253640970138491</c:v>
                </c:pt>
                <c:pt idx="10">
                  <c:v>99.168271511668038</c:v>
                </c:pt>
                <c:pt idx="11">
                  <c:v>102.5720895842355</c:v>
                </c:pt>
                <c:pt idx="12">
                  <c:v>101.45606727796978</c:v>
                </c:pt>
                <c:pt idx="13">
                  <c:v>100.30325277090942</c:v>
                </c:pt>
                <c:pt idx="14">
                  <c:v>99.113621802455924</c:v>
                </c:pt>
                <c:pt idx="15">
                  <c:v>97.921619373022736</c:v>
                </c:pt>
                <c:pt idx="16">
                  <c:v>96.727290443625208</c:v>
                </c:pt>
                <c:pt idx="17">
                  <c:v>95.530679867001112</c:v>
                </c:pt>
                <c:pt idx="18">
                  <c:v>94.331832380400101</c:v>
                </c:pt>
                <c:pt idx="19">
                  <c:v>93.130792598440109</c:v>
                </c:pt>
                <c:pt idx="20">
                  <c:v>91.927605006032152</c:v>
                </c:pt>
                <c:pt idx="21">
                  <c:v>90.722313951374815</c:v>
                </c:pt>
                <c:pt idx="22">
                  <c:v>89.514963639019939</c:v>
                </c:pt>
                <c:pt idx="23">
                  <c:v>88.305598123011436</c:v>
                </c:pt>
                <c:pt idx="24">
                  <c:v>87.094261300097401</c:v>
                </c:pt>
                <c:pt idx="25">
                  <c:v>85.880996903018371</c:v>
                </c:pt>
                <c:pt idx="26">
                  <c:v>84.665848493871621</c:v>
                </c:pt>
                <c:pt idx="27">
                  <c:v>84.056219638974426</c:v>
                </c:pt>
                <c:pt idx="28">
                  <c:v>84.053063990273884</c:v>
                </c:pt>
                <c:pt idx="29">
                  <c:v>84.049441047192516</c:v>
                </c:pt>
                <c:pt idx="30">
                  <c:v>84.045350411840289</c:v>
                </c:pt>
                <c:pt idx="31">
                  <c:v>84.040791699542908</c:v>
                </c:pt>
                <c:pt idx="32">
                  <c:v>84.035764538875242</c:v>
                </c:pt>
                <c:pt idx="33">
                  <c:v>84.030268571694151</c:v>
                </c:pt>
                <c:pt idx="34">
                  <c:v>84.024303453170702</c:v>
                </c:pt>
                <c:pt idx="35">
                  <c:v>84.017868851821191</c:v>
                </c:pt>
                <c:pt idx="36">
                  <c:v>84.010964449537639</c:v>
                </c:pt>
                <c:pt idx="37">
                  <c:v>84.003589912191785</c:v>
                </c:pt>
                <c:pt idx="38">
                  <c:v>83.995744914415027</c:v>
                </c:pt>
                <c:pt idx="39">
                  <c:v>83.987429174463173</c:v>
                </c:pt>
                <c:pt idx="40">
                  <c:v>83.978642424151928</c:v>
                </c:pt>
                <c:pt idx="41">
                  <c:v>83.969384408880018</c:v>
                </c:pt>
                <c:pt idx="42">
                  <c:v>83.959654887651837</c:v>
                </c:pt>
                <c:pt idx="43">
                  <c:v>83.949453633099466</c:v>
                </c:pt>
                <c:pt idx="44">
                  <c:v>83.938780431503844</c:v>
                </c:pt>
                <c:pt idx="45">
                  <c:v>83.927635082815428</c:v>
                </c:pt>
                <c:pt idx="46">
                  <c:v>83.916017400674292</c:v>
                </c:pt>
                <c:pt idx="47">
                  <c:v>83.903927212429238</c:v>
                </c:pt>
                <c:pt idx="48">
                  <c:v>83.891364359156483</c:v>
                </c:pt>
                <c:pt idx="49">
                  <c:v>83.878328695677482</c:v>
                </c:pt>
                <c:pt idx="50">
                  <c:v>83.864820090576103</c:v>
                </c:pt>
                <c:pt idx="51">
                  <c:v>83.850838426214892</c:v>
                </c:pt>
                <c:pt idx="52">
                  <c:v>83.836383598750842</c:v>
                </c:pt>
                <c:pt idx="53">
                  <c:v>83.821455518150216</c:v>
                </c:pt>
                <c:pt idx="54">
                  <c:v>83.806054108202574</c:v>
                </c:pt>
                <c:pt idx="55">
                  <c:v>83.790179306534185</c:v>
                </c:pt>
                <c:pt idx="56">
                  <c:v>83.773831064620481</c:v>
                </c:pt>
                <c:pt idx="57">
                  <c:v>83.757009347797762</c:v>
                </c:pt>
                <c:pt idx="58">
                  <c:v>83.739714135274269</c:v>
                </c:pt>
                <c:pt idx="59">
                  <c:v>83.721945420140145</c:v>
                </c:pt>
                <c:pt idx="60">
                  <c:v>83.703703209376755</c:v>
                </c:pt>
                <c:pt idx="61">
                  <c:v>83.684987523865274</c:v>
                </c:pt>
                <c:pt idx="62">
                  <c:v>83.66579839839423</c:v>
                </c:pt>
                <c:pt idx="63">
                  <c:v>83.646135881666368</c:v>
                </c:pt>
                <c:pt idx="64">
                  <c:v>83.626000036304703</c:v>
                </c:pt>
                <c:pt idx="65">
                  <c:v>83.605390938857596</c:v>
                </c:pt>
                <c:pt idx="66">
                  <c:v>83.584308679803073</c:v>
                </c:pt>
                <c:pt idx="67">
                  <c:v>83.562753363552446</c:v>
                </c:pt>
                <c:pt idx="68">
                  <c:v>83.540725108452705</c:v>
                </c:pt>
                <c:pt idx="69">
                  <c:v>83.518224046788447</c:v>
                </c:pt>
                <c:pt idx="70">
                  <c:v>83.495250324782816</c:v>
                </c:pt>
                <c:pt idx="71">
                  <c:v>83.47180410259746</c:v>
                </c:pt>
                <c:pt idx="72">
                  <c:v>83.44094613585672</c:v>
                </c:pt>
                <c:pt idx="73">
                  <c:v>83.402667963106794</c:v>
                </c:pt>
                <c:pt idx="74">
                  <c:v>83.363906606134663</c:v>
                </c:pt>
                <c:pt idx="75">
                  <c:v>83.32466254154096</c:v>
                </c:pt>
                <c:pt idx="76">
                  <c:v>83.284936260332813</c:v>
                </c:pt>
                <c:pt idx="77">
                  <c:v>83.244728267902317</c:v>
                </c:pt>
                <c:pt idx="78">
                  <c:v>83.204039084004265</c:v>
                </c:pt>
                <c:pt idx="79">
                  <c:v>83.162869242732867</c:v>
                </c:pt>
                <c:pt idx="80">
                  <c:v>83.121219292497599</c:v>
                </c:pt>
                <c:pt idx="81">
                  <c:v>83.079089795998144</c:v>
                </c:pt>
                <c:pt idx="82">
                  <c:v>83.036481330198384</c:v>
                </c:pt>
                <c:pt idx="83">
                  <c:v>82.993394486299493</c:v>
                </c:pt>
                <c:pt idx="84">
                  <c:v>82.949829869712232</c:v>
                </c:pt>
                <c:pt idx="85">
                  <c:v>82.905788100028118</c:v>
                </c:pt>
                <c:pt idx="86">
                  <c:v>82.861269810989896</c:v>
                </c:pt>
                <c:pt idx="87">
                  <c:v>82.816275650461051</c:v>
                </c:pt>
                <c:pt idx="88">
                  <c:v>82.770806280394353</c:v>
                </c:pt>
                <c:pt idx="89">
                  <c:v>82.724862376799621</c:v>
                </c:pt>
                <c:pt idx="90">
                  <c:v>82.678444629710398</c:v>
                </c:pt>
                <c:pt idx="91">
                  <c:v>82.631553743150036</c:v>
                </c:pt>
                <c:pt idx="92">
                  <c:v>82.58419043509663</c:v>
                </c:pt>
                <c:pt idx="93">
                  <c:v>82.536355437447142</c:v>
                </c:pt>
                <c:pt idx="94">
                  <c:v>82.488049495980718</c:v>
                </c:pt>
                <c:pt idx="95">
                  <c:v>82.439273370321004</c:v>
                </c:pt>
                <c:pt idx="96">
                  <c:v>82.390027833897705</c:v>
                </c:pt>
                <c:pt idx="97">
                  <c:v>82.340313673907175</c:v>
                </c:pt>
                <c:pt idx="98">
                  <c:v>82.290131691272194</c:v>
                </c:pt>
                <c:pt idx="99">
                  <c:v>82.239482700600831</c:v>
                </c:pt>
                <c:pt idx="100">
                  <c:v>82.18836753014449</c:v>
                </c:pt>
                <c:pt idx="101">
                  <c:v>82.136787021755097</c:v>
                </c:pt>
                <c:pt idx="102">
                  <c:v>82.084742030841383</c:v>
                </c:pt>
                <c:pt idx="103">
                  <c:v>82.032233426324325</c:v>
                </c:pt>
                <c:pt idx="104">
                  <c:v>81.97926209059186</c:v>
                </c:pt>
                <c:pt idx="105">
                  <c:v>81.925828919452556</c:v>
                </c:pt>
                <c:pt idx="106">
                  <c:v>81.871934822088534</c:v>
                </c:pt>
                <c:pt idx="107">
                  <c:v>81.817580721007644</c:v>
                </c:pt>
                <c:pt idx="108">
                  <c:v>81.762767551994699</c:v>
                </c:pt>
                <c:pt idx="109">
                  <c:v>81.707496264061888</c:v>
                </c:pt>
                <c:pt idx="110">
                  <c:v>81.651767819398444</c:v>
                </c:pt>
                <c:pt idx="111">
                  <c:v>81.595583193319399</c:v>
                </c:pt>
                <c:pt idx="112">
                  <c:v>81.538943374213588</c:v>
                </c:pt>
                <c:pt idx="113">
                  <c:v>81.48184936349088</c:v>
                </c:pt>
                <c:pt idx="114">
                  <c:v>81.424302175528524</c:v>
                </c:pt>
                <c:pt idx="115">
                  <c:v>81.366302837616715</c:v>
                </c:pt>
                <c:pt idx="116">
                  <c:v>81.307852389903402</c:v>
                </c:pt>
                <c:pt idx="117">
                  <c:v>81.248951885338371</c:v>
                </c:pt>
                <c:pt idx="118">
                  <c:v>81.189602389616368</c:v>
                </c:pt>
                <c:pt idx="119">
                  <c:v>81.129804981119619</c:v>
                </c:pt>
                <c:pt idx="120">
                  <c:v>81.069560750859523</c:v>
                </c:pt>
                <c:pt idx="121">
                  <c:v>81.008870802417491</c:v>
                </c:pt>
                <c:pt idx="122">
                  <c:v>80.947736251885232</c:v>
                </c:pt>
                <c:pt idx="123">
                  <c:v>80.886158227804074</c:v>
                </c:pt>
                <c:pt idx="124">
                  <c:v>80.824137871103673</c:v>
                </c:pt>
                <c:pt idx="125">
                  <c:v>80.761676335039908</c:v>
                </c:pt>
                <c:pt idx="126">
                  <c:v>80.698774785132088</c:v>
                </c:pt>
                <c:pt idx="127">
                  <c:v>80.635434399099466</c:v>
                </c:pt>
                <c:pt idx="128">
                  <c:v>80.571656366796844</c:v>
                </c:pt>
                <c:pt idx="129">
                  <c:v>80.475449593760871</c:v>
                </c:pt>
                <c:pt idx="130">
                  <c:v>80.346787680958542</c:v>
                </c:pt>
                <c:pt idx="131">
                  <c:v>80.217664355554376</c:v>
                </c:pt>
                <c:pt idx="132">
                  <c:v>80.088082149027002</c:v>
                </c:pt>
                <c:pt idx="133">
                  <c:v>79.958043603326757</c:v>
                </c:pt>
                <c:pt idx="134">
                  <c:v>79.827551270721074</c:v>
                </c:pt>
                <c:pt idx="135">
                  <c:v>79.696607713639551</c:v>
                </c:pt>
                <c:pt idx="136">
                  <c:v>79.565215504518676</c:v>
                </c:pt>
                <c:pt idx="137">
                  <c:v>79.433377225646055</c:v>
                </c:pt>
                <c:pt idx="138">
                  <c:v>79.301095469004508</c:v>
                </c:pt>
                <c:pt idx="139">
                  <c:v>79.168372836115751</c:v>
                </c:pt>
                <c:pt idx="140">
                  <c:v>79.035211937883759</c:v>
                </c:pt>
                <c:pt idx="141">
                  <c:v>78.90161539443794</c:v>
                </c:pt>
                <c:pt idx="142">
                  <c:v>78.767585834975947</c:v>
                </c:pt>
                <c:pt idx="143">
                  <c:v>78.633125897606263</c:v>
                </c:pt>
                <c:pt idx="144">
                  <c:v>78.498238229190662</c:v>
                </c:pt>
                <c:pt idx="145">
                  <c:v>78.362925485186238</c:v>
                </c:pt>
                <c:pt idx="146">
                  <c:v>78.227190329487499</c:v>
                </c:pt>
                <c:pt idx="147">
                  <c:v>78.091035434268008</c:v>
                </c:pt>
                <c:pt idx="148">
                  <c:v>77.954463479822081</c:v>
                </c:pt>
                <c:pt idx="149">
                  <c:v>77.81747715440622</c:v>
                </c:pt>
                <c:pt idx="150">
                  <c:v>77.680079154080389</c:v>
                </c:pt>
                <c:pt idx="151">
                  <c:v>77.542272182549226</c:v>
                </c:pt>
                <c:pt idx="152">
                  <c:v>77.404058951003194</c:v>
                </c:pt>
                <c:pt idx="153">
                  <c:v>77.2654421779595</c:v>
                </c:pt>
                <c:pt idx="154">
                  <c:v>77.126424589103067</c:v>
                </c:pt>
                <c:pt idx="155">
                  <c:v>76.98700891712744</c:v>
                </c:pt>
                <c:pt idx="156">
                  <c:v>76.847197901575569</c:v>
                </c:pt>
                <c:pt idx="157">
                  <c:v>76.706994288680619</c:v>
                </c:pt>
                <c:pt idx="158">
                  <c:v>76.566400831206835</c:v>
                </c:pt>
                <c:pt idx="159">
                  <c:v>76.42542028829024</c:v>
                </c:pt>
                <c:pt idx="160">
                  <c:v>76.28405542527959</c:v>
                </c:pt>
                <c:pt idx="161">
                  <c:v>76.142309013577105</c:v>
                </c:pt>
                <c:pt idx="162">
                  <c:v>76.000183830479514</c:v>
                </c:pt>
                <c:pt idx="163">
                  <c:v>75.857682659018963</c:v>
                </c:pt>
                <c:pt idx="164">
                  <c:v>75.714808287804061</c:v>
                </c:pt>
                <c:pt idx="165">
                  <c:v>75.571563510861068</c:v>
                </c:pt>
                <c:pt idx="166">
                  <c:v>75.427951127475254</c:v>
                </c:pt>
                <c:pt idx="167">
                  <c:v>75.283973942032162</c:v>
                </c:pt>
                <c:pt idx="168">
                  <c:v>75.139634763859291</c:v>
                </c:pt>
                <c:pt idx="169">
                  <c:v>74.994936407067627</c:v>
                </c:pt>
                <c:pt idx="170">
                  <c:v>74.849881690393772</c:v>
                </c:pt>
                <c:pt idx="171">
                  <c:v>74.704473437041756</c:v>
                </c:pt>
                <c:pt idx="172">
                  <c:v>74.558714474525473</c:v>
                </c:pt>
                <c:pt idx="173">
                  <c:v>74.412607634511104</c:v>
                </c:pt>
                <c:pt idx="174">
                  <c:v>74.266155752659785</c:v>
                </c:pt>
                <c:pt idx="175">
                  <c:v>74.119361668470717</c:v>
                </c:pt>
                <c:pt idx="176">
                  <c:v>73.972228225124184</c:v>
                </c:pt>
                <c:pt idx="177">
                  <c:v>73.824758269325173</c:v>
                </c:pt>
                <c:pt idx="178">
                  <c:v>73.676954651147156</c:v>
                </c:pt>
                <c:pt idx="179">
                  <c:v>73.528820223876096</c:v>
                </c:pt>
                <c:pt idx="180">
                  <c:v>73.38035784385491</c:v>
                </c:pt>
                <c:pt idx="181">
                  <c:v>73.231570370328157</c:v>
                </c:pt>
                <c:pt idx="182">
                  <c:v>73.082460665287115</c:v>
                </c:pt>
                <c:pt idx="183">
                  <c:v>72.933031593315249</c:v>
                </c:pt>
                <c:pt idx="184">
                  <c:v>72.783286021433909</c:v>
                </c:pt>
                <c:pt idx="185">
                  <c:v>72.633226818948586</c:v>
                </c:pt>
                <c:pt idx="186">
                  <c:v>72.482856857295431</c:v>
                </c:pt>
                <c:pt idx="187">
                  <c:v>72.332179009888307</c:v>
                </c:pt>
                <c:pt idx="188">
                  <c:v>72.18119615196612</c:v>
                </c:pt>
                <c:pt idx="189">
                  <c:v>72.029911160440662</c:v>
                </c:pt>
                <c:pt idx="190">
                  <c:v>71.878326913744957</c:v>
                </c:pt>
                <c:pt idx="191">
                  <c:v>71.726446291681981</c:v>
                </c:pt>
                <c:pt idx="192">
                  <c:v>71.574272175273848</c:v>
                </c:pt>
                <c:pt idx="193">
                  <c:v>71.421807446611538</c:v>
                </c:pt>
                <c:pt idx="194">
                  <c:v>71.269054988705136</c:v>
                </c:pt>
                <c:pt idx="195">
                  <c:v>71.116017685334427</c:v>
                </c:pt>
                <c:pt idx="196">
                  <c:v>70.962698420900324</c:v>
                </c:pt>
                <c:pt idx="197">
                  <c:v>70.809100080276465</c:v>
                </c:pt>
                <c:pt idx="198">
                  <c:v>70.655225548661605</c:v>
                </c:pt>
                <c:pt idx="199">
                  <c:v>70.501077711432458</c:v>
                </c:pt>
                <c:pt idx="200">
                  <c:v>70.346659453997162</c:v>
                </c:pt>
                <c:pt idx="201">
                  <c:v>70.191973661649286</c:v>
                </c:pt>
                <c:pt idx="202">
                  <c:v>70.037023219422451</c:v>
                </c:pt>
                <c:pt idx="203">
                  <c:v>69.881811011945516</c:v>
                </c:pt>
                <c:pt idx="204">
                  <c:v>69.726339923298468</c:v>
                </c:pt>
                <c:pt idx="205">
                  <c:v>69.570612836868747</c:v>
                </c:pt>
                <c:pt idx="206">
                  <c:v>69.406830850424356</c:v>
                </c:pt>
                <c:pt idx="207">
                  <c:v>69.234994805689837</c:v>
                </c:pt>
                <c:pt idx="208">
                  <c:v>69.062913644723523</c:v>
                </c:pt>
                <c:pt idx="209">
                  <c:v>68.890590545144875</c:v>
                </c:pt>
                <c:pt idx="210">
                  <c:v>68.718028681716959</c:v>
                </c:pt>
                <c:pt idx="211">
                  <c:v>68.545231226191461</c:v>
                </c:pt>
                <c:pt idx="212">
                  <c:v>68.372201347154473</c:v>
                </c:pt>
                <c:pt idx="213">
                  <c:v>68.198942209873294</c:v>
                </c:pt>
                <c:pt idx="214">
                  <c:v>68.025456976144028</c:v>
                </c:pt>
                <c:pt idx="215">
                  <c:v>67.851748804140271</c:v>
                </c:pt>
                <c:pt idx="216">
                  <c:v>67.677820848262684</c:v>
                </c:pt>
                <c:pt idx="217">
                  <c:v>67.503676258989543</c:v>
                </c:pt>
                <c:pt idx="218">
                  <c:v>67.32931818272823</c:v>
                </c:pt>
                <c:pt idx="219">
                  <c:v>67.154749761667716</c:v>
                </c:pt>
                <c:pt idx="220">
                  <c:v>66.979974133632126</c:v>
                </c:pt>
                <c:pt idx="221">
                  <c:v>66.804994431935157</c:v>
                </c:pt>
                <c:pt idx="222">
                  <c:v>66.629813785235584</c:v>
                </c:pt>
                <c:pt idx="223">
                  <c:v>66.454435317393759</c:v>
                </c:pt>
                <c:pt idx="224">
                  <c:v>66.278862147329178</c:v>
                </c:pt>
                <c:pt idx="225">
                  <c:v>66.10309738887905</c:v>
                </c:pt>
                <c:pt idx="226">
                  <c:v>65.927144150657895</c:v>
                </c:pt>
                <c:pt idx="227">
                  <c:v>65.751005535918253</c:v>
                </c:pt>
                <c:pt idx="228">
                  <c:v>65.574684642412308</c:v>
                </c:pt>
                <c:pt idx="229">
                  <c:v>65.398184562254798</c:v>
                </c:pt>
                <c:pt idx="230">
                  <c:v>65.221508381786791</c:v>
                </c:pt>
                <c:pt idx="231">
                  <c:v>65.044659181440664</c:v>
                </c:pt>
                <c:pt idx="232">
                  <c:v>64.867640035606144</c:v>
                </c:pt>
                <c:pt idx="233">
                  <c:v>64.690454012497355</c:v>
                </c:pt>
                <c:pt idx="234">
                  <c:v>64.513104174021151</c:v>
                </c:pt>
                <c:pt idx="235">
                  <c:v>64.335593575646371</c:v>
                </c:pt>
                <c:pt idx="236">
                  <c:v>64.157925266274361</c:v>
                </c:pt>
                <c:pt idx="237">
                  <c:v>63.980102288110395</c:v>
                </c:pt>
                <c:pt idx="238">
                  <c:v>63.80212767653655</c:v>
                </c:pt>
                <c:pt idx="239">
                  <c:v>63.624004459985407</c:v>
                </c:pt>
                <c:pt idx="240">
                  <c:v>63.445735659815028</c:v>
                </c:pt>
                <c:pt idx="241">
                  <c:v>63.26732429018513</c:v>
                </c:pt>
                <c:pt idx="242">
                  <c:v>63.06179047157535</c:v>
                </c:pt>
                <c:pt idx="243">
                  <c:v>62.82913757222201</c:v>
                </c:pt>
                <c:pt idx="244">
                  <c:v>62.596372703572733</c:v>
                </c:pt>
                <c:pt idx="245">
                  <c:v>62.36349984267946</c:v>
                </c:pt>
                <c:pt idx="246">
                  <c:v>62.130522951756596</c:v>
                </c:pt>
                <c:pt idx="247">
                  <c:v>61.897445978025104</c:v>
                </c:pt>
                <c:pt idx="248">
                  <c:v>61.664272853558771</c:v>
                </c:pt>
                <c:pt idx="249">
                  <c:v>61.431007495132498</c:v>
                </c:pt>
                <c:pt idx="250">
                  <c:v>61.197653804072843</c:v>
                </c:pt>
                <c:pt idx="251">
                  <c:v>60.964215666110725</c:v>
                </c:pt>
                <c:pt idx="252">
                  <c:v>60.730696951236112</c:v>
                </c:pt>
                <c:pt idx="253">
                  <c:v>60.497101513555023</c:v>
                </c:pt>
                <c:pt idx="254">
                  <c:v>60.263433191148543</c:v>
                </c:pt>
                <c:pt idx="255">
                  <c:v>60.029695805934061</c:v>
                </c:pt>
                <c:pt idx="256">
                  <c:v>59.795893163528596</c:v>
                </c:pt>
                <c:pt idx="257">
                  <c:v>59.562029053114308</c:v>
                </c:pt>
                <c:pt idx="258">
                  <c:v>59.328107247306129</c:v>
                </c:pt>
                <c:pt idx="259">
                  <c:v>59.094131502021497</c:v>
                </c:pt>
                <c:pt idx="260">
                  <c:v>58.860105556352295</c:v>
                </c:pt>
                <c:pt idx="261">
                  <c:v>58.626033132438899</c:v>
                </c:pt>
                <c:pt idx="262">
                  <c:v>58.391917935346328</c:v>
                </c:pt>
                <c:pt idx="263">
                  <c:v>58.157763652942606</c:v>
                </c:pt>
                <c:pt idx="264">
                  <c:v>57.92357395577914</c:v>
                </c:pt>
                <c:pt idx="265">
                  <c:v>57.689352496973335</c:v>
                </c:pt>
                <c:pt idx="266">
                  <c:v>57.455102912093267</c:v>
                </c:pt>
                <c:pt idx="267">
                  <c:v>57.220828819044513</c:v>
                </c:pt>
                <c:pt idx="268">
                  <c:v>56.986533817959085</c:v>
                </c:pt>
                <c:pt idx="269">
                  <c:v>56.752221491086473</c:v>
                </c:pt>
                <c:pt idx="270">
                  <c:v>56.517895402686811</c:v>
                </c:pt>
                <c:pt idx="271">
                  <c:v>56.283559098926112</c:v>
                </c:pt>
                <c:pt idx="272">
                  <c:v>56.049216107773667</c:v>
                </c:pt>
                <c:pt idx="273">
                  <c:v>55.814869938901523</c:v>
                </c:pt>
                <c:pt idx="274">
                  <c:v>55.580524083585985</c:v>
                </c:pt>
                <c:pt idx="275">
                  <c:v>55.346182014611308</c:v>
                </c:pt>
                <c:pt idx="276">
                  <c:v>55.111847186175389</c:v>
                </c:pt>
                <c:pt idx="277">
                  <c:v>54.877523033797587</c:v>
                </c:pt>
                <c:pt idx="278">
                  <c:v>54.643212974228582</c:v>
                </c:pt>
                <c:pt idx="279">
                  <c:v>54.408920405362281</c:v>
                </c:pt>
                <c:pt idx="280">
                  <c:v>54.17464870614986</c:v>
                </c:pt>
                <c:pt idx="281">
                  <c:v>53.940401236515754</c:v>
                </c:pt>
                <c:pt idx="282">
                  <c:v>53.706181337275758</c:v>
                </c:pt>
                <c:pt idx="283">
                  <c:v>53.471992330057141</c:v>
                </c:pt>
                <c:pt idx="284">
                  <c:v>53.269532631726968</c:v>
                </c:pt>
                <c:pt idx="285">
                  <c:v>53.098794338908313</c:v>
                </c:pt>
                <c:pt idx="286">
                  <c:v>52.928052118201229</c:v>
                </c:pt>
                <c:pt idx="287">
                  <c:v>52.757308245531107</c:v>
                </c:pt>
                <c:pt idx="288">
                  <c:v>52.586564986210057</c:v>
                </c:pt>
                <c:pt idx="289">
                  <c:v>52.415824594884612</c:v>
                </c:pt>
                <c:pt idx="290">
                  <c:v>52.245089315484378</c:v>
                </c:pt>
                <c:pt idx="291">
                  <c:v>52.074361381171776</c:v>
                </c:pt>
                <c:pt idx="292">
                  <c:v>51.903643014292669</c:v>
                </c:pt>
                <c:pt idx="293">
                  <c:v>51.732936426328209</c:v>
                </c:pt>
                <c:pt idx="294">
                  <c:v>51.562243817847467</c:v>
                </c:pt>
                <c:pt idx="295">
                  <c:v>51.391567378461218</c:v>
                </c:pt>
                <c:pt idx="296">
                  <c:v>51.22090928677661</c:v>
                </c:pt>
                <c:pt idx="297">
                  <c:v>51.050271710352987</c:v>
                </c:pt>
                <c:pt idx="298">
                  <c:v>50.879656805658556</c:v>
                </c:pt>
                <c:pt idx="299">
                  <c:v>50.709066718028019</c:v>
                </c:pt>
                <c:pt idx="300">
                  <c:v>50.538503581621505</c:v>
                </c:pt>
                <c:pt idx="301">
                  <c:v>50.367969519383962</c:v>
                </c:pt>
                <c:pt idx="302">
                  <c:v>50.197466643006031</c:v>
                </c:pt>
                <c:pt idx="303">
                  <c:v>50.026997052885676</c:v>
                </c:pt>
                <c:pt idx="304">
                  <c:v>49.85656283809066</c:v>
                </c:pt>
                <c:pt idx="305">
                  <c:v>49.686166076322273</c:v>
                </c:pt>
                <c:pt idx="306">
                  <c:v>49.515808833879824</c:v>
                </c:pt>
                <c:pt idx="307">
                  <c:v>49.345493165626117</c:v>
                </c:pt>
                <c:pt idx="308">
                  <c:v>49.175221114954013</c:v>
                </c:pt>
                <c:pt idx="309">
                  <c:v>49.004994713753796</c:v>
                </c:pt>
                <c:pt idx="310">
                  <c:v>48.834815982381521</c:v>
                </c:pt>
                <c:pt idx="311">
                  <c:v>48.664686929628409</c:v>
                </c:pt>
                <c:pt idx="312">
                  <c:v>48.494609552691017</c:v>
                </c:pt>
                <c:pt idx="313">
                  <c:v>48.324585837142543</c:v>
                </c:pt>
                <c:pt idx="314">
                  <c:v>48.154617756904855</c:v>
                </c:pt>
                <c:pt idx="315">
                  <c:v>47.984707274221599</c:v>
                </c:pt>
                <c:pt idx="316">
                  <c:v>47.814856339632158</c:v>
                </c:pt>
                <c:pt idx="317">
                  <c:v>47.645066891946577</c:v>
                </c:pt>
                <c:pt idx="318">
                  <c:v>47.475340858221365</c:v>
                </c:pt>
                <c:pt idx="319">
                  <c:v>47.305680153736219</c:v>
                </c:pt>
                <c:pt idx="320">
                  <c:v>47.136086681971641</c:v>
                </c:pt>
                <c:pt idx="321">
                  <c:v>46.966562334587444</c:v>
                </c:pt>
                <c:pt idx="322">
                  <c:v>46.797108991402268</c:v>
                </c:pt>
                <c:pt idx="323">
                  <c:v>46.627728520373736</c:v>
                </c:pt>
                <c:pt idx="324">
                  <c:v>46.458422777579834</c:v>
                </c:pt>
                <c:pt idx="325">
                  <c:v>46.289193607200851</c:v>
                </c:pt>
                <c:pt idx="326">
                  <c:v>46.121990644327759</c:v>
                </c:pt>
                <c:pt idx="327">
                  <c:v>45.956814523183226</c:v>
                </c:pt>
                <c:pt idx="328">
                  <c:v>45.791716781436939</c:v>
                </c:pt>
                <c:pt idx="329">
                  <c:v>45.62669916923695</c:v>
                </c:pt>
                <c:pt idx="330">
                  <c:v>45.461763425246971</c:v>
                </c:pt>
                <c:pt idx="331">
                  <c:v>45.296911276633352</c:v>
                </c:pt>
                <c:pt idx="332">
                  <c:v>45.132144439052993</c:v>
                </c:pt>
                <c:pt idx="333">
                  <c:v>44.967464616641941</c:v>
                </c:pt>
                <c:pt idx="334">
                  <c:v>44.802873502004829</c:v>
                </c:pt>
                <c:pt idx="335">
                  <c:v>44.638372776205109</c:v>
                </c:pt>
                <c:pt idx="336">
                  <c:v>44.473964108756029</c:v>
                </c:pt>
                <c:pt idx="337">
                  <c:v>44.309649157612434</c:v>
                </c:pt>
                <c:pt idx="338">
                  <c:v>44.145429569163269</c:v>
                </c:pt>
                <c:pt idx="339">
                  <c:v>43.981306978224978</c:v>
                </c:pt>
                <c:pt idx="340">
                  <c:v>43.81728300803551</c:v>
                </c:pt>
                <c:pt idx="341">
                  <c:v>43.653359270249148</c:v>
                </c:pt>
                <c:pt idx="342">
                  <c:v>43.489537364932175</c:v>
                </c:pt>
                <c:pt idx="343">
                  <c:v>43.325818880559119</c:v>
                </c:pt>
                <c:pt idx="344">
                  <c:v>43.162205394009852</c:v>
                </c:pt>
                <c:pt idx="345">
                  <c:v>42.998698470567383</c:v>
                </c:pt>
                <c:pt idx="346">
                  <c:v>42.835299663916409</c:v>
                </c:pt>
                <c:pt idx="347">
                  <c:v>42.672010516142535</c:v>
                </c:pt>
                <c:pt idx="348">
                  <c:v>42.508832557732234</c:v>
                </c:pt>
                <c:pt idx="349">
                  <c:v>42.345767307573617</c:v>
                </c:pt>
                <c:pt idx="350">
                  <c:v>42.182816272957702</c:v>
                </c:pt>
                <c:pt idx="351">
                  <c:v>42.019980949580543</c:v>
                </c:pt>
                <c:pt idx="352">
                  <c:v>41.857262821546023</c:v>
                </c:pt>
                <c:pt idx="353">
                  <c:v>41.694663361369329</c:v>
                </c:pt>
                <c:pt idx="354">
                  <c:v>41.532184029981025</c:v>
                </c:pt>
                <c:pt idx="355">
                  <c:v>41.369826276731999</c:v>
                </c:pt>
                <c:pt idx="356">
                  <c:v>41.207591539398869</c:v>
                </c:pt>
                <c:pt idx="357">
                  <c:v>41.045481244190107</c:v>
                </c:pt>
                <c:pt idx="358">
                  <c:v>40.883496805753012</c:v>
                </c:pt>
                <c:pt idx="359">
                  <c:v>40.721639627181013</c:v>
                </c:pt>
                <c:pt idx="360">
                  <c:v>40.5599111000219</c:v>
                </c:pt>
                <c:pt idx="361">
                  <c:v>40.398312604286517</c:v>
                </c:pt>
                <c:pt idx="362">
                  <c:v>40.23684550845821</c:v>
                </c:pt>
                <c:pt idx="363">
                  <c:v>40.075511169502811</c:v>
                </c:pt>
                <c:pt idx="364">
                  <c:v>39.914310932879282</c:v>
                </c:pt>
                <c:pt idx="365">
                  <c:v>39.753246132551062</c:v>
                </c:pt>
                <c:pt idx="366">
                  <c:v>39.6417095451053</c:v>
                </c:pt>
                <c:pt idx="367">
                  <c:v>39.579661732075415</c:v>
                </c:pt>
                <c:pt idx="368">
                  <c:v>39.517641447018413</c:v>
                </c:pt>
                <c:pt idx="369">
                  <c:v>39.455649180407718</c:v>
                </c:pt>
                <c:pt idx="370">
                  <c:v>39.39368542040792</c:v>
                </c:pt>
                <c:pt idx="371">
                  <c:v>39.331750652872145</c:v>
                </c:pt>
                <c:pt idx="372">
                  <c:v>39.269845361339705</c:v>
                </c:pt>
                <c:pt idx="373">
                  <c:v>39.207970027033653</c:v>
                </c:pt>
                <c:pt idx="374">
                  <c:v>39.146125128858472</c:v>
                </c:pt>
                <c:pt idx="375">
                  <c:v>39.084311143398068</c:v>
                </c:pt>
                <c:pt idx="376">
                  <c:v>39.02252854491357</c:v>
                </c:pt>
                <c:pt idx="377">
                  <c:v>38.960777805341394</c:v>
                </c:pt>
                <c:pt idx="378">
                  <c:v>38.899059394291378</c:v>
                </c:pt>
                <c:pt idx="379">
                  <c:v>38.837373779044981</c:v>
                </c:pt>
                <c:pt idx="380">
                  <c:v>38.775721424553609</c:v>
                </c:pt>
                <c:pt idx="381">
                  <c:v>38.66078947011367</c:v>
                </c:pt>
                <c:pt idx="382">
                  <c:v>38.492624894353504</c:v>
                </c:pt>
                <c:pt idx="383">
                  <c:v>38.324620705570581</c:v>
                </c:pt>
                <c:pt idx="384">
                  <c:v>38.156778189322836</c:v>
                </c:pt>
                <c:pt idx="385">
                  <c:v>37.989098618722949</c:v>
                </c:pt>
                <c:pt idx="386">
                  <c:v>37.821583254460577</c:v>
                </c:pt>
                <c:pt idx="387">
                  <c:v>37.654233344824966</c:v>
                </c:pt>
                <c:pt idx="388">
                  <c:v>37.487050125728302</c:v>
                </c:pt>
                <c:pt idx="389">
                  <c:v>37.320034820729667</c:v>
                </c:pt>
                <c:pt idx="390">
                  <c:v>37.153188641059373</c:v>
                </c:pt>
                <c:pt idx="391">
                  <c:v>36.986512785644102</c:v>
                </c:pt>
                <c:pt idx="392">
                  <c:v>36.820008441132437</c:v>
                </c:pt>
                <c:pt idx="393">
                  <c:v>36.653676781921</c:v>
                </c:pt>
                <c:pt idx="394">
                  <c:v>36.487518970181206</c:v>
                </c:pt>
                <c:pt idx="395">
                  <c:v>36.321536155886399</c:v>
                </c:pt>
                <c:pt idx="396">
                  <c:v>36.155729476839703</c:v>
                </c:pt>
                <c:pt idx="397">
                  <c:v>35.990100058702176</c:v>
                </c:pt>
                <c:pt idx="398">
                  <c:v>35.82464901502177</c:v>
                </c:pt>
                <c:pt idx="399">
                  <c:v>35.659377447262536</c:v>
                </c:pt>
                <c:pt idx="400">
                  <c:v>35.494286444834451</c:v>
                </c:pt>
                <c:pt idx="401">
                  <c:v>35.287528238263114</c:v>
                </c:pt>
                <c:pt idx="402">
                  <c:v>35.039144840717796</c:v>
                </c:pt>
                <c:pt idx="403">
                  <c:v>34.791051863097465</c:v>
                </c:pt>
                <c:pt idx="404">
                  <c:v>34.543251128874928</c:v>
                </c:pt>
                <c:pt idx="405">
                  <c:v>34.29574443689301</c:v>
                </c:pt>
                <c:pt idx="406">
                  <c:v>34.048533561441459</c:v>
                </c:pt>
                <c:pt idx="407">
                  <c:v>33.801620252335049</c:v>
                </c:pt>
                <c:pt idx="408">
                  <c:v>33.555006234992725</c:v>
                </c:pt>
                <c:pt idx="409">
                  <c:v>33.308693210517987</c:v>
                </c:pt>
                <c:pt idx="410">
                  <c:v>33.062682855780395</c:v>
                </c:pt>
                <c:pt idx="411">
                  <c:v>32.585999628684071</c:v>
                </c:pt>
                <c:pt idx="412">
                  <c:v>31.878888958958374</c:v>
                </c:pt>
                <c:pt idx="413">
                  <c:v>31.172706549595546</c:v>
                </c:pt>
                <c:pt idx="414">
                  <c:v>30.467461558764786</c:v>
                </c:pt>
                <c:pt idx="415">
                  <c:v>29.763162970512447</c:v>
                </c:pt>
                <c:pt idx="416">
                  <c:v>29.059819595370865</c:v>
                </c:pt>
                <c:pt idx="417">
                  <c:v>28.357440070984829</c:v>
                </c:pt>
                <c:pt idx="418">
                  <c:v>27.656032862754973</c:v>
                </c:pt>
                <c:pt idx="419">
                  <c:v>26.955606264497835</c:v>
                </c:pt>
                <c:pt idx="420">
                  <c:v>26.124908509566787</c:v>
                </c:pt>
                <c:pt idx="421">
                  <c:v>25.164106263515464</c:v>
                </c:pt>
                <c:pt idx="422">
                  <c:v>24.204694284006859</c:v>
                </c:pt>
                <c:pt idx="423">
                  <c:v>23.246686695679571</c:v>
                </c:pt>
                <c:pt idx="424">
                  <c:v>22.290097309016094</c:v>
                </c:pt>
                <c:pt idx="425">
                  <c:v>21.334939621609898</c:v>
                </c:pt>
                <c:pt idx="426">
                  <c:v>20.38122681946934</c:v>
                </c:pt>
                <c:pt idx="427">
                  <c:v>19.428971778357916</c:v>
                </c:pt>
                <c:pt idx="428">
                  <c:v>18.478187065169571</c:v>
                </c:pt>
                <c:pt idx="429">
                  <c:v>17.528884939338425</c:v>
                </c:pt>
                <c:pt idx="430">
                  <c:v>16.581077354281824</c:v>
                </c:pt>
                <c:pt idx="431">
                  <c:v>15.634775958875961</c:v>
                </c:pt>
                <c:pt idx="432">
                  <c:v>14.478734609246859</c:v>
                </c:pt>
                <c:pt idx="433">
                  <c:v>13.113272784109101</c:v>
                </c:pt>
                <c:pt idx="434">
                  <c:v>11.750053914776627</c:v>
                </c:pt>
                <c:pt idx="435">
                  <c:v>10.389101491133598</c:v>
                </c:pt>
                <c:pt idx="436">
                  <c:v>9.030438378350194</c:v>
                </c:pt>
                <c:pt idx="437">
                  <c:v>7.6740868198491503</c:v>
                </c:pt>
                <c:pt idx="438">
                  <c:v>6.3200684403620357</c:v>
                </c:pt>
                <c:pt idx="439">
                  <c:v>4.9684042490725338</c:v>
                </c:pt>
                <c:pt idx="440">
                  <c:v>3.6191146428443752</c:v>
                </c:pt>
                <c:pt idx="441">
                  <c:v>2.2722194095312473</c:v>
                </c:pt>
                <c:pt idx="442">
                  <c:v>1.0559378004165521</c:v>
                </c:pt>
                <c:pt idx="443">
                  <c:v>-2.993357690141869E-2</c:v>
                </c:pt>
                <c:pt idx="444">
                  <c:v>-1.1138334087969248</c:v>
                </c:pt>
                <c:pt idx="445">
                  <c:v>-2.1957516526497161</c:v>
                </c:pt>
                <c:pt idx="446">
                  <c:v>-3.2756786476019752</c:v>
                </c:pt>
                <c:pt idx="447">
                  <c:v>-4.353605111937056</c:v>
                </c:pt>
                <c:pt idx="448">
                  <c:v>-5.4295221404294942</c:v>
                </c:pt>
                <c:pt idx="449">
                  <c:v>-6.5034212016673303</c:v>
                </c:pt>
                <c:pt idx="450">
                  <c:v>-7.5752941353482433</c:v>
                </c:pt>
                <c:pt idx="451">
                  <c:v>-8.6451331495507393</c:v>
                </c:pt>
                <c:pt idx="452">
                  <c:v>-9.712930817981352</c:v>
                </c:pt>
                <c:pt idx="453">
                  <c:v>-10.595219471729727</c:v>
                </c:pt>
                <c:pt idx="454">
                  <c:v>-11.292348561183596</c:v>
                </c:pt>
                <c:pt idx="455">
                  <c:v>-11.988153584658955</c:v>
                </c:pt>
                <c:pt idx="456">
                  <c:v>-12.68263426005387</c:v>
                </c:pt>
                <c:pt idx="457">
                  <c:v>-13.375790445664309</c:v>
                </c:pt>
                <c:pt idx="458">
                  <c:v>-14.067622138905673</c:v>
                </c:pt>
                <c:pt idx="459">
                  <c:v>-14.758129475034949</c:v>
                </c:pt>
                <c:pt idx="460">
                  <c:v>-15.44731272587415</c:v>
                </c:pt>
                <c:pt idx="461">
                  <c:v>-15.970122276260117</c:v>
                </c:pt>
                <c:pt idx="462">
                  <c:v>-16.326892517514896</c:v>
                </c:pt>
                <c:pt idx="463">
                  <c:v>-16.683019228831967</c:v>
                </c:pt>
                <c:pt idx="464">
                  <c:v>-17.038504411363164</c:v>
                </c:pt>
                <c:pt idx="465">
                  <c:v>-17.393350092890202</c:v>
                </c:pt>
                <c:pt idx="466">
                  <c:v>-17.886195706572916</c:v>
                </c:pt>
                <c:pt idx="467">
                  <c:v>-18.516759478388643</c:v>
                </c:pt>
                <c:pt idx="468">
                  <c:v>-20.689961038153847</c:v>
                </c:pt>
                <c:pt idx="469">
                  <c:v>-22.513269546097916</c:v>
                </c:pt>
                <c:pt idx="470">
                  <c:v>-22.443589233727661</c:v>
                </c:pt>
                <c:pt idx="471">
                  <c:v>-22.374178544873089</c:v>
                </c:pt>
                <c:pt idx="472">
                  <c:v>-22.305036092244723</c:v>
                </c:pt>
                <c:pt idx="473">
                  <c:v>-22.236160497555836</c:v>
                </c:pt>
                <c:pt idx="474">
                  <c:v>-22.167550391452171</c:v>
                </c:pt>
                <c:pt idx="475">
                  <c:v>-22.099204413442191</c:v>
                </c:pt>
                <c:pt idx="476">
                  <c:v>-22.031121211828154</c:v>
                </c:pt>
                <c:pt idx="477">
                  <c:v>-21.963299443637652</c:v>
                </c:pt>
                <c:pt idx="478">
                  <c:v>-21.89573777455584</c:v>
                </c:pt>
                <c:pt idx="479">
                  <c:v>-21.82843487885825</c:v>
                </c:pt>
                <c:pt idx="480">
                  <c:v>-21.761389439344335</c:v>
                </c:pt>
                <c:pt idx="481">
                  <c:v>-21.694600147271348</c:v>
                </c:pt>
                <c:pt idx="482">
                  <c:v>-21.628065702289174</c:v>
                </c:pt>
                <c:pt idx="483">
                  <c:v>-21.561784812375414</c:v>
                </c:pt>
                <c:pt idx="484">
                  <c:v>-21.4957561937713</c:v>
                </c:pt>
                <c:pt idx="485">
                  <c:v>-21.429978570918038</c:v>
                </c:pt>
                <c:pt idx="486">
                  <c:v>-21.364450676393815</c:v>
                </c:pt>
                <c:pt idx="487">
                  <c:v>-21.29917125085132</c:v>
                </c:pt>
                <c:pt idx="488">
                  <c:v>-21.234139042955825</c:v>
                </c:pt>
                <c:pt idx="489">
                  <c:v>-21.169352809323872</c:v>
                </c:pt>
                <c:pt idx="490">
                  <c:v>-21.104811314462452</c:v>
                </c:pt>
                <c:pt idx="491">
                  <c:v>-21.040513330708748</c:v>
                </c:pt>
                <c:pt idx="492">
                  <c:v>-20.976457638170448</c:v>
                </c:pt>
                <c:pt idx="493">
                  <c:v>-20.912643024666487</c:v>
                </c:pt>
                <c:pt idx="494">
                  <c:v>-20.849068285668498</c:v>
                </c:pt>
                <c:pt idx="495">
                  <c:v>-20.785732224242601</c:v>
                </c:pt>
                <c:pt idx="496">
                  <c:v>-20.722633650991764</c:v>
                </c:pt>
                <c:pt idx="497">
                  <c:v>-20.659771383998759</c:v>
                </c:pt>
                <c:pt idx="498">
                  <c:v>-20.597144248769553</c:v>
                </c:pt>
                <c:pt idx="499">
                  <c:v>-20.534751078177148</c:v>
                </c:pt>
                <c:pt idx="500">
                  <c:v>-20.472590712406046</c:v>
                </c:pt>
                <c:pt idx="501">
                  <c:v>-20.410661998897055</c:v>
                </c:pt>
                <c:pt idx="502">
                  <c:v>-19.798716873166022</c:v>
                </c:pt>
                <c:pt idx="503">
                  <c:v>-19.209169376249896</c:v>
                </c:pt>
                <c:pt idx="504">
                  <c:v>-18.640942195567661</c:v>
                </c:pt>
                <c:pt idx="505">
                  <c:v>-18.093022831127254</c:v>
                </c:pt>
                <c:pt idx="506">
                  <c:v>-17.564458948393117</c:v>
                </c:pt>
                <c:pt idx="507">
                  <c:v>-17.054354117026929</c:v>
                </c:pt>
                <c:pt idx="508">
                  <c:v>-16.561863899193987</c:v>
                </c:pt>
                <c:pt idx="509">
                  <c:v>-16.086192254936947</c:v>
                </c:pt>
                <c:pt idx="510">
                  <c:v>-15.626588235486773</c:v>
                </c:pt>
                <c:pt idx="511">
                  <c:v>-15.182342938365844</c:v>
                </c:pt>
                <c:pt idx="512">
                  <c:v>-14.752786700785522</c:v>
                </c:pt>
                <c:pt idx="513">
                  <c:v>-14.337286510193227</c:v>
                </c:pt>
                <c:pt idx="514">
                  <c:v>-13.935243612917143</c:v>
                </c:pt>
                <c:pt idx="515">
                  <c:v>-13.546091303721628</c:v>
                </c:pt>
                <c:pt idx="516">
                  <c:v>-13.169292880750422</c:v>
                </c:pt>
                <c:pt idx="517">
                  <c:v>-12.804339751820837</c:v>
                </c:pt>
                <c:pt idx="518">
                  <c:v>-12.450749679362087</c:v>
                </c:pt>
                <c:pt idx="519">
                  <c:v>-12.108065152481457</c:v>
                </c:pt>
                <c:pt idx="520">
                  <c:v>-11.775851875710131</c:v>
                </c:pt>
                <c:pt idx="521">
                  <c:v>-11.453697364938881</c:v>
                </c:pt>
                <c:pt idx="522">
                  <c:v>-11.141209641915941</c:v>
                </c:pt>
                <c:pt idx="523">
                  <c:v>-10.838016019454638</c:v>
                </c:pt>
                <c:pt idx="524">
                  <c:v>-10.543761970197146</c:v>
                </c:pt>
                <c:pt idx="525">
                  <c:v>-10.258110072410789</c:v>
                </c:pt>
                <c:pt idx="526">
                  <c:v>-9.9807390268622651</c:v>
                </c:pt>
                <c:pt idx="527">
                  <c:v>-9.7113427393293374</c:v>
                </c:pt>
                <c:pt idx="528">
                  <c:v>-9.4496294637748903</c:v>
                </c:pt>
                <c:pt idx="529">
                  <c:v>-9.1953210016294413</c:v>
                </c:pt>
                <c:pt idx="530">
                  <c:v>-8.9481519530103242</c:v>
                </c:pt>
                <c:pt idx="531">
                  <c:v>-8.707869016052447</c:v>
                </c:pt>
                <c:pt idx="532">
                  <c:v>-8.4742303308402143</c:v>
                </c:pt>
                <c:pt idx="533">
                  <c:v>-8.2470048647167129</c:v>
                </c:pt>
                <c:pt idx="534">
                  <c:v>-8.025971836006617</c:v>
                </c:pt>
                <c:pt idx="535">
                  <c:v>-7.8109201734266307</c:v>
                </c:pt>
                <c:pt idx="536">
                  <c:v>-7.601648008673612</c:v>
                </c:pt>
                <c:pt idx="537">
                  <c:v>-7.3979621998778864</c:v>
                </c:pt>
                <c:pt idx="538">
                  <c:v>-7.1996778837894855</c:v>
                </c:pt>
                <c:pt idx="539">
                  <c:v>-7.0066180547298273</c:v>
                </c:pt>
                <c:pt idx="540">
                  <c:v>-6.8186131684921065</c:v>
                </c:pt>
                <c:pt idx="541">
                  <c:v>-6.6355007695114008</c:v>
                </c:pt>
                <c:pt idx="542">
                  <c:v>-6.4571251397521889</c:v>
                </c:pt>
                <c:pt idx="543">
                  <c:v>-6.2833369678765818</c:v>
                </c:pt>
                <c:pt idx="544">
                  <c:v>-6.1139930373631373</c:v>
                </c:pt>
                <c:pt idx="545">
                  <c:v>-5.9489559323435595</c:v>
                </c:pt>
                <c:pt idx="546">
                  <c:v>-5.7880937600145028</c:v>
                </c:pt>
                <c:pt idx="547">
                  <c:v>-5.6312798885640909</c:v>
                </c:pt>
                <c:pt idx="548">
                  <c:v>-5.4783926996287411</c:v>
                </c:pt>
                <c:pt idx="549">
                  <c:v>-5.3293153543658702</c:v>
                </c:pt>
                <c:pt idx="550">
                  <c:v>-5.1839355722923823</c:v>
                </c:pt>
                <c:pt idx="551">
                  <c:v>-5.0421454220983879</c:v>
                </c:pt>
                <c:pt idx="552">
                  <c:v>-4.9038411237004089</c:v>
                </c:pt>
                <c:pt idx="553">
                  <c:v>-4.768922860848904</c:v>
                </c:pt>
                <c:pt idx="554">
                  <c:v>-4.6372946036518563</c:v>
                </c:pt>
                <c:pt idx="555">
                  <c:v>-4.5088639404193156</c:v>
                </c:pt>
                <c:pt idx="556">
                  <c:v>-4.3835419182738624</c:v>
                </c:pt>
                <c:pt idx="557">
                  <c:v>-4.2612428920090313</c:v>
                </c:pt>
                <c:pt idx="558">
                  <c:v>-4.1418843807119821</c:v>
                </c:pt>
                <c:pt idx="559">
                  <c:v>-4.0253869316986091</c:v>
                </c:pt>
                <c:pt idx="560">
                  <c:v>-3.911673991338672</c:v>
                </c:pt>
                <c:pt idx="561">
                  <c:v>-3.8006717823759679</c:v>
                </c:pt>
                <c:pt idx="562">
                  <c:v>-3.6923091873739837</c:v>
                </c:pt>
                <c:pt idx="563">
                  <c:v>-3.5865176379410166</c:v>
                </c:pt>
                <c:pt idx="564">
                  <c:v>-3.4832310094107384</c:v>
                </c:pt>
                <c:pt idx="565">
                  <c:v>-3.3823855206745832</c:v>
                </c:pt>
                <c:pt idx="566">
                  <c:v>-3.2839196388812857</c:v>
                </c:pt>
                <c:pt idx="567">
                  <c:v>-3.1877739887366148</c:v>
                </c:pt>
                <c:pt idx="568">
                  <c:v>-3.0938912661527751</c:v>
                </c:pt>
                <c:pt idx="569">
                  <c:v>-3.0022161560123366</c:v>
                </c:pt>
                <c:pt idx="570">
                  <c:v>-2.9126952538257891</c:v>
                </c:pt>
                <c:pt idx="571">
                  <c:v>-2.825276991075238</c:v>
                </c:pt>
                <c:pt idx="572">
                  <c:v>-2.7399115640491543</c:v>
                </c:pt>
                <c:pt idx="573">
                  <c:v>-2.6565508659847481</c:v>
                </c:pt>
                <c:pt idx="574">
                  <c:v>-2.5751484223454018</c:v>
                </c:pt>
                <c:pt idx="575">
                  <c:v>-2.495659329070723</c:v>
                </c:pt>
                <c:pt idx="576">
                  <c:v>-2.4180401936463447</c:v>
                </c:pt>
                <c:pt idx="577">
                  <c:v>-2.3422490788493553</c:v>
                </c:pt>
                <c:pt idx="578">
                  <c:v>-2.2682454490337181</c:v>
                </c:pt>
                <c:pt idx="579">
                  <c:v>-2.1959901188276674</c:v>
                </c:pt>
                <c:pt idx="580">
                  <c:v>-2.1254452041224794</c:v>
                </c:pt>
                <c:pt idx="581">
                  <c:v>-2.0565740752387791</c:v>
                </c:pt>
                <c:pt idx="582">
                  <c:v>-1.9893413121629702</c:v>
                </c:pt>
                <c:pt idx="583">
                  <c:v>-1.9237126617523983</c:v>
                </c:pt>
                <c:pt idx="584">
                  <c:v>-1.8596549968134866</c:v>
                </c:pt>
                <c:pt idx="585">
                  <c:v>-1.7971362769623507</c:v>
                </c:pt>
                <c:pt idx="586">
                  <c:v>-1.7361255111824181</c:v>
                </c:pt>
                <c:pt idx="587">
                  <c:v>-1.6765927219981998</c:v>
                </c:pt>
                <c:pt idx="588">
                  <c:v>-1.6185089111887629</c:v>
                </c:pt>
                <c:pt idx="589">
                  <c:v>-1.5618460269685981</c:v>
                </c:pt>
                <c:pt idx="590">
                  <c:v>-1.5065769325674088</c:v>
                </c:pt>
                <c:pt idx="591">
                  <c:v>-1.4526753761440327</c:v>
                </c:pt>
                <c:pt idx="592">
                  <c:v>-1.4001159619731136</c:v>
                </c:pt>
                <c:pt idx="593">
                  <c:v>-1.3488741228463841</c:v>
                </c:pt>
                <c:pt idx="594">
                  <c:v>-1.298926093633437</c:v>
                </c:pt>
                <c:pt idx="595">
                  <c:v>-1.2502488859497427</c:v>
                </c:pt>
                <c:pt idx="596">
                  <c:v>-1.2028202638823475</c:v>
                </c:pt>
                <c:pt idx="597">
                  <c:v>-1.1566187207262237</c:v>
                </c:pt>
                <c:pt idx="598">
                  <c:v>-1.1116234566866245</c:v>
                </c:pt>
                <c:pt idx="599">
                  <c:v>-1.0678143575050418</c:v>
                </c:pt>
                <c:pt idx="600">
                  <c:v>-1.0251719739684693</c:v>
                </c:pt>
                <c:pt idx="601">
                  <c:v>-0.9836775022636578</c:v>
                </c:pt>
                <c:pt idx="602">
                  <c:v>-0.94331276513991713</c:v>
                </c:pt>
                <c:pt idx="603">
                  <c:v>-0.90406019384574798</c:v>
                </c:pt>
                <c:pt idx="604">
                  <c:v>-0.8659028108062411</c:v>
                </c:pt>
                <c:pt idx="605">
                  <c:v>-0.82882421300970655</c:v>
                </c:pt>
                <c:pt idx="606">
                  <c:v>-0.79280855607340139</c:v>
                </c:pt>
                <c:pt idx="607">
                  <c:v>-0.75784053895957948</c:v>
                </c:pt>
                <c:pt idx="608">
                  <c:v>-0.72390538931428061</c:v>
                </c:pt>
                <c:pt idx="609">
                  <c:v>-0.69098884940241989</c:v>
                </c:pt>
                <c:pt idx="610">
                  <c:v>-0.65907716261375016</c:v>
                </c:pt>
                <c:pt idx="611">
                  <c:v>-0.62815706051520215</c:v>
                </c:pt>
                <c:pt idx="612">
                  <c:v>-0.59821575042590636</c:v>
                </c:pt>
                <c:pt idx="613">
                  <c:v>-0.56924090349192602</c:v>
                </c:pt>
                <c:pt idx="614">
                  <c:v>-0.54122064323830188</c:v>
                </c:pt>
                <c:pt idx="615">
                  <c:v>-0.51414353457647854</c:v>
                </c:pt>
                <c:pt idx="616">
                  <c:v>-0.48799857324550328</c:v>
                </c:pt>
                <c:pt idx="617">
                  <c:v>-0.46277517566555793</c:v>
                </c:pt>
                <c:pt idx="618">
                  <c:v>-0.43846316918238137</c:v>
                </c:pt>
                <c:pt idx="619">
                  <c:v>-0.4150527826809477</c:v>
                </c:pt>
                <c:pt idx="620">
                  <c:v>-0.39253463754633544</c:v>
                </c:pt>
                <c:pt idx="621">
                  <c:v>-0.37089973894905709</c:v>
                </c:pt>
                <c:pt idx="622">
                  <c:v>-0.35013946743113383</c:v>
                </c:pt>
                <c:pt idx="623">
                  <c:v>-0.33024557076788152</c:v>
                </c:pt>
                <c:pt idx="624">
                  <c:v>-0.31121015607863428</c:v>
                </c:pt>
                <c:pt idx="625">
                  <c:v>-0.29302568215743519</c:v>
                </c:pt>
                <c:pt idx="626">
                  <c:v>-0.27568495199194826</c:v>
                </c:pt>
                <c:pt idx="627">
                  <c:v>-0.25918110543544193</c:v>
                </c:pt>
                <c:pt idx="628">
                  <c:v>-0.24350761199252804</c:v>
                </c:pt>
                <c:pt idx="629">
                  <c:v>-0.22865826367433437</c:v>
                </c:pt>
                <c:pt idx="630">
                  <c:v>-0.21462716787279937</c:v>
                </c:pt>
                <c:pt idx="631">
                  <c:v>-0.20140874019674765</c:v>
                </c:pt>
                <c:pt idx="632">
                  <c:v>-0.1889976972042231</c:v>
                </c:pt>
                <c:pt idx="633">
                  <c:v>-0.17738904895623622</c:v>
                </c:pt>
                <c:pt idx="634">
                  <c:v>-0.16657809130666934</c:v>
                </c:pt>
                <c:pt idx="635">
                  <c:v>-0.15656039783181375</c:v>
                </c:pt>
                <c:pt idx="636">
                  <c:v>-0.14733181129130046</c:v>
                </c:pt>
                <c:pt idx="637">
                  <c:v>-0.13888843450075575</c:v>
                </c:pt>
                <c:pt idx="638">
                  <c:v>-0.13122662048647873</c:v>
                </c:pt>
                <c:pt idx="639">
                  <c:v>-0.12434296178537516</c:v>
                </c:pt>
                <c:pt idx="640">
                  <c:v>-0.11823427875137629</c:v>
                </c:pt>
                <c:pt idx="641">
                  <c:v>-0.11289760673518315</c:v>
                </c:pt>
                <c:pt idx="642">
                  <c:v>-0.10833018202022793</c:v>
                </c:pt>
                <c:pt idx="643">
                  <c:v>-0.10452942642693949</c:v>
                </c:pt>
                <c:pt idx="644">
                  <c:v>-0.10149293054168136</c:v>
                </c:pt>
                <c:pt idx="645">
                  <c:v>-9.921843558647668E-2</c:v>
                </c:pt>
                <c:pt idx="646">
                  <c:v>-9.7703814018791385E-2</c:v>
                </c:pt>
                <c:pt idx="647">
                  <c:v>-9.6947049032185248E-2</c:v>
                </c:pt>
                <c:pt idx="648">
                  <c:v>-9.6946213210564319E-2</c:v>
                </c:pt>
                <c:pt idx="649">
                  <c:v>-9.769944666105794E-2</c:v>
                </c:pt>
                <c:pt idx="650">
                  <c:v>-9.9204935002972033E-2</c:v>
                </c:pt>
                <c:pt idx="651">
                  <c:v>-0.101460887614682</c:v>
                </c:pt>
                <c:pt idx="652">
                  <c:v>-0.10446551653273689</c:v>
                </c:pt>
                <c:pt idx="653">
                  <c:v>-0.1082170163590912</c:v>
                </c:pt>
                <c:pt idx="654">
                  <c:v>-0.11271354546940546</c:v>
                </c:pt>
                <c:pt idx="655">
                  <c:v>-0.11795320873719796</c:v>
                </c:pt>
                <c:pt idx="656">
                  <c:v>-0.12393404190571007</c:v>
                </c:pt>
                <c:pt idx="657">
                  <c:v>-0.13065399766096031</c:v>
                </c:pt>
                <c:pt idx="658">
                  <c:v>-0.13811093339229796</c:v>
                </c:pt>
                <c:pt idx="659">
                  <c:v>-0.14630260057443475</c:v>
                </c:pt>
                <c:pt idx="660">
                  <c:v>-0.15522663566824399</c:v>
                </c:pt>
                <c:pt idx="661">
                  <c:v>-0.16488055241534286</c:v>
                </c:pt>
                <c:pt idx="662">
                  <c:v>-0.17526173539118159</c:v>
                </c:pt>
                <c:pt idx="663">
                  <c:v>-0.18636743468021619</c:v>
                </c:pt>
                <c:pt idx="664">
                  <c:v>-0.19819476154196491</c:v>
                </c:pt>
                <c:pt idx="665">
                  <c:v>-0.21074068494599191</c:v>
                </c:pt>
                <c:pt idx="666">
                  <c:v>-0.22400202886525056</c:v>
                </c:pt>
                <c:pt idx="667">
                  <c:v>-0.23797547022940863</c:v>
                </c:pt>
                <c:pt idx="668">
                  <c:v>-0.25265753745184955</c:v>
                </c:pt>
                <c:pt idx="669">
                  <c:v>-0.2680446094554208</c:v>
                </c:pt>
                <c:pt idx="670">
                  <c:v>-0.2841329151323882</c:v>
                </c:pt>
                <c:pt idx="671">
                  <c:v>-0.30091853318328943</c:v>
                </c:pt>
                <c:pt idx="672">
                  <c:v>-0.31839739228747649</c:v>
                </c:pt>
                <c:pt idx="673">
                  <c:v>-0.33656527156511967</c:v>
                </c:pt>
                <c:pt idx="674">
                  <c:v>-0.35541780129642769</c:v>
                </c:pt>
                <c:pt idx="675">
                  <c:v>-0.37495046386891501</c:v>
                </c:pt>
                <c:pt idx="676">
                  <c:v>-0.39515859492784117</c:v>
                </c:pt>
                <c:pt idx="677">
                  <c:v>-0.41603738470855262</c:v>
                </c:pt>
                <c:pt idx="678">
                  <c:v>-0.43758187953250144</c:v>
                </c:pt>
                <c:pt idx="679">
                  <c:v>-0.45978698345124047</c:v>
                </c:pt>
                <c:pt idx="680">
                  <c:v>-0.48264746002483927</c:v>
                </c:pt>
                <c:pt idx="681">
                  <c:v>-0.50615793422292643</c:v>
                </c:pt>
                <c:pt idx="682">
                  <c:v>-0.53031289443807383</c:v>
                </c:pt>
                <c:pt idx="683">
                  <c:v>-0.55510669460246398</c:v>
                </c:pt>
                <c:pt idx="684">
                  <c:v>-0.58053355639984605</c:v>
                </c:pt>
                <c:pt idx="685">
                  <c:v>-0.6065875715656488</c:v>
                </c:pt>
                <c:pt idx="686">
                  <c:v>-0.63326270426885645</c:v>
                </c:pt>
                <c:pt idx="687">
                  <c:v>-0.6605527935698805</c:v>
                </c:pt>
                <c:pt idx="688">
                  <c:v>-0.6884515559491704</c:v>
                </c:pt>
                <c:pt idx="689">
                  <c:v>-0.71695258790174932</c:v>
                </c:pt>
                <c:pt idx="690">
                  <c:v>-0.74604936859323712</c:v>
                </c:pt>
                <c:pt idx="691">
                  <c:v>-0.77573526257322978</c:v>
                </c:pt>
                <c:pt idx="692">
                  <c:v>-0.80600352254217844</c:v>
                </c:pt>
                <c:pt idx="693">
                  <c:v>-0.83684729216813414</c:v>
                </c:pt>
                <c:pt idx="694">
                  <c:v>-0.8682596089499196</c:v>
                </c:pt>
                <c:pt idx="695">
                  <c:v>-0.90023340712345989</c:v>
                </c:pt>
                <c:pt idx="696">
                  <c:v>-0.93276152060814621</c:v>
                </c:pt>
                <c:pt idx="697">
                  <c:v>-0.96583668599021877</c:v>
                </c:pt>
                <c:pt idx="698">
                  <c:v>-0.99945154554028981</c:v>
                </c:pt>
                <c:pt idx="699">
                  <c:v>-1.0335986502621914</c:v>
                </c:pt>
                <c:pt idx="700">
                  <c:v>-1.0682704629704367</c:v>
                </c:pt>
                <c:pt idx="701">
                  <c:v>-1.1034593613936521</c:v>
                </c:pt>
                <c:pt idx="702">
                  <c:v>-1.1391576413013942</c:v>
                </c:pt>
                <c:pt idx="703">
                  <c:v>-1.1753575196518429</c:v>
                </c:pt>
                <c:pt idx="704">
                  <c:v>-1.2120511377578949</c:v>
                </c:pt>
                <c:pt idx="705">
                  <c:v>-1.2492305644692527</c:v>
                </c:pt>
                <c:pt idx="706">
                  <c:v>-1.2868877993681314</c:v>
                </c:pt>
                <c:pt idx="707">
                  <c:v>-1.3250147759762663</c:v>
                </c:pt>
                <c:pt idx="708">
                  <c:v>-1.3636033649709283</c:v>
                </c:pt>
                <c:pt idx="709">
                  <c:v>-1.4026453774077148</c:v>
                </c:pt>
                <c:pt idx="710">
                  <c:v>-1.4421325679478905</c:v>
                </c:pt>
                <c:pt idx="711">
                  <c:v>-1.4820566380881359</c:v>
                </c:pt>
                <c:pt idx="712">
                  <c:v>-1.5224092393905422</c:v>
                </c:pt>
                <c:pt idx="713">
                  <c:v>-1.5631819767107817</c:v>
                </c:pt>
                <c:pt idx="714">
                  <c:v>-1.6043664114223697</c:v>
                </c:pt>
                <c:pt idx="715">
                  <c:v>-1.6459540646350186</c:v>
                </c:pt>
                <c:pt idx="716">
                  <c:v>-1.6879364204050769</c:v>
                </c:pt>
                <c:pt idx="717">
                  <c:v>-1.7303049289361034</c:v>
                </c:pt>
                <c:pt idx="718">
                  <c:v>-1.7730510097676724</c:v>
                </c:pt>
                <c:pt idx="719">
                  <c:v>-1.8161660549505272</c:v>
                </c:pt>
                <c:pt idx="720">
                  <c:v>-1.8596414322062234</c:v>
                </c:pt>
                <c:pt idx="721">
                  <c:v>-1.903468488069497</c:v>
                </c:pt>
                <c:pt idx="722">
                  <c:v>-1.9476385510115601</c:v>
                </c:pt>
                <c:pt idx="723">
                  <c:v>-1.9921429345426094</c:v>
                </c:pt>
                <c:pt idx="724">
                  <c:v>-2.0369729402918786</c:v>
                </c:pt>
                <c:pt idx="725">
                  <c:v>-2.0821198610635601</c:v>
                </c:pt>
                <c:pt idx="726">
                  <c:v>-2.1275749838670324</c:v>
                </c:pt>
                <c:pt idx="727">
                  <c:v>-2.1733295929197842</c:v>
                </c:pt>
                <c:pt idx="728">
                  <c:v>-2.2193749726215728</c:v>
                </c:pt>
                <c:pt idx="729">
                  <c:v>-2.265702410498283</c:v>
                </c:pt>
                <c:pt idx="730">
                  <c:v>-2.3123032001140986</c:v>
                </c:pt>
                <c:pt idx="731">
                  <c:v>-2.3591686439505688</c:v>
                </c:pt>
                <c:pt idx="732">
                  <c:v>-2.4062900562512466</c:v>
                </c:pt>
                <c:pt idx="733">
                  <c:v>-2.453658765830578</c:v>
                </c:pt>
                <c:pt idx="734">
                  <c:v>-2.5012661188457996</c:v>
                </c:pt>
                <c:pt idx="735">
                  <c:v>-2.5491034815306364</c:v>
                </c:pt>
                <c:pt idx="736">
                  <c:v>-2.5971622428896262</c:v>
                </c:pt>
                <c:pt idx="737">
                  <c:v>-2.6454338173519649</c:v>
                </c:pt>
                <c:pt idx="738">
                  <c:v>-2.6939096473837911</c:v>
                </c:pt>
                <c:pt idx="739">
                  <c:v>-2.7425812060578862</c:v>
                </c:pt>
                <c:pt idx="740">
                  <c:v>-2.7914399995798149</c:v>
                </c:pt>
                <c:pt idx="741">
                  <c:v>-2.840477569769587</c:v>
                </c:pt>
                <c:pt idx="742">
                  <c:v>-2.8896854964979113</c:v>
                </c:pt>
                <c:pt idx="743">
                  <c:v>-2.9390554000762776</c:v>
                </c:pt>
                <c:pt idx="744">
                  <c:v>-2.9885789435999857</c:v>
                </c:pt>
                <c:pt idx="745">
                  <c:v>-3.038247835243455</c:v>
                </c:pt>
                <c:pt idx="746">
                  <c:v>-3.0880538305070759</c:v>
                </c:pt>
                <c:pt idx="747">
                  <c:v>-3.1379887344149511</c:v>
                </c:pt>
                <c:pt idx="748">
                  <c:v>-3.1880444036629436</c:v>
                </c:pt>
                <c:pt idx="749">
                  <c:v>-3.2382127487164385</c:v>
                </c:pt>
                <c:pt idx="750">
                  <c:v>-3.2884857358573458</c:v>
                </c:pt>
                <c:pt idx="751">
                  <c:v>-3.3388553891798378</c:v>
                </c:pt>
                <c:pt idx="752">
                  <c:v>-3.3893137925344146</c:v>
                </c:pt>
                <c:pt idx="753">
                  <c:v>-3.439853091419919</c:v>
                </c:pt>
                <c:pt idx="754">
                  <c:v>-3.4904654948231655</c:v>
                </c:pt>
                <c:pt idx="755">
                  <c:v>-3.5411432770058733</c:v>
                </c:pt>
                <c:pt idx="756">
                  <c:v>-3.5918787792386957</c:v>
                </c:pt>
                <c:pt idx="757">
                  <c:v>-3.6426644114820865</c:v>
                </c:pt>
                <c:pt idx="758">
                  <c:v>-3.6934926540138897</c:v>
                </c:pt>
                <c:pt idx="759">
                  <c:v>-3.7443560590034872</c:v>
                </c:pt>
                <c:pt idx="760">
                  <c:v>-3.7952472520324556</c:v>
                </c:pt>
                <c:pt idx="761">
                  <c:v>-3.8461589335616737</c:v>
                </c:pt>
                <c:pt idx="762">
                  <c:v>-3.89708388034486</c:v>
                </c:pt>
                <c:pt idx="763">
                  <c:v>-3.9480149467886334</c:v>
                </c:pt>
                <c:pt idx="764">
                  <c:v>-3.9989450662590897</c:v>
                </c:pt>
                <c:pt idx="765">
                  <c:v>-4.0498672523350816</c:v>
                </c:pt>
                <c:pt idx="766">
                  <c:v>-4.1007746000082852</c:v>
                </c:pt>
                <c:pt idx="767">
                  <c:v>-4.1516602868302828</c:v>
                </c:pt>
                <c:pt idx="768">
                  <c:v>-4.2025175740068441</c:v>
                </c:pt>
                <c:pt idx="769">
                  <c:v>-4.2533398074396942</c:v>
                </c:pt>
                <c:pt idx="770">
                  <c:v>-4.3041204187159776</c:v>
                </c:pt>
                <c:pt idx="771">
                  <c:v>-4.3548529260458491</c:v>
                </c:pt>
                <c:pt idx="772">
                  <c:v>-4.4055309351484047</c:v>
                </c:pt>
                <c:pt idx="773">
                  <c:v>-4.4561481400864391</c:v>
                </c:pt>
                <c:pt idx="774">
                  <c:v>-4.506698324050368</c:v>
                </c:pt>
                <c:pt idx="775">
                  <c:v>-4.5571753600917626</c:v>
                </c:pt>
                <c:pt idx="776">
                  <c:v>-4.6075732118069901</c:v>
                </c:pt>
                <c:pt idx="777">
                  <c:v>-4.6578859339713823</c:v>
                </c:pt>
                <c:pt idx="778">
                  <c:v>-4.7081076731245011</c:v>
                </c:pt>
                <c:pt idx="779">
                  <c:v>-4.7582326681070271</c:v>
                </c:pt>
                <c:pt idx="780">
                  <c:v>-4.8082552505497818</c:v>
                </c:pt>
                <c:pt idx="781">
                  <c:v>-4.8581698453155395</c:v>
                </c:pt>
                <c:pt idx="782">
                  <c:v>-4.9079709708941754</c:v>
                </c:pt>
                <c:pt idx="783">
                  <c:v>-4.9576532397518021</c:v>
                </c:pt>
                <c:pt idx="784">
                  <c:v>-5.0072113586345175</c:v>
                </c:pt>
                <c:pt idx="785">
                  <c:v>-5.0566401288274418</c:v>
                </c:pt>
                <c:pt idx="786">
                  <c:v>-5.1059344463697371</c:v>
                </c:pt>
                <c:pt idx="787">
                  <c:v>-5.1550893022262283</c:v>
                </c:pt>
                <c:pt idx="788">
                  <c:v>-5.2040997824164732</c:v>
                </c:pt>
                <c:pt idx="789">
                  <c:v>-5.2529610681018575</c:v>
                </c:pt>
                <c:pt idx="790">
                  <c:v>-5.3016684356315587</c:v>
                </c:pt>
                <c:pt idx="791">
                  <c:v>-5.3502172565480972</c:v>
                </c:pt>
                <c:pt idx="792">
                  <c:v>-5.3986029975532341</c:v>
                </c:pt>
                <c:pt idx="793">
                  <c:v>-5.4468212204349848</c:v>
                </c:pt>
                <c:pt idx="794">
                  <c:v>-5.4948675819565675</c:v>
                </c:pt>
                <c:pt idx="795">
                  <c:v>-5.5427378337080331</c:v>
                </c:pt>
                <c:pt idx="796">
                  <c:v>-5.5904278219214314</c:v>
                </c:pt>
                <c:pt idx="797">
                  <c:v>-5.6379334872502795</c:v>
                </c:pt>
                <c:pt idx="798">
                  <c:v>-5.6852508645141668</c:v>
                </c:pt>
                <c:pt idx="799">
                  <c:v>-5.7323760824093366</c:v>
                </c:pt>
                <c:pt idx="800">
                  <c:v>-5.7793053631860314</c:v>
                </c:pt>
                <c:pt idx="801">
                  <c:v>-5.8260350222934862</c:v>
                </c:pt>
                <c:pt idx="802">
                  <c:v>-5.8725614679933376</c:v>
                </c:pt>
                <c:pt idx="803">
                  <c:v>-5.9188812009423799</c:v>
                </c:pt>
                <c:pt idx="804">
                  <c:v>-5.9649908137454011</c:v>
                </c:pt>
                <c:pt idx="805">
                  <c:v>-6.0108869904790243</c:v>
                </c:pt>
                <c:pt idx="806">
                  <c:v>-6.0565665061873561</c:v>
                </c:pt>
                <c:pt idx="807">
                  <c:v>-6.1020262263502802</c:v>
                </c:pt>
                <c:pt idx="808">
                  <c:v>-6.1472631063252807</c:v>
                </c:pt>
                <c:pt idx="809">
                  <c:v>-6.1922741907635439</c:v>
                </c:pt>
                <c:pt idx="810">
                  <c:v>-6.2370566130013003</c:v>
                </c:pt>
                <c:pt idx="811">
                  <c:v>-6.2816075944271059</c:v>
                </c:pt>
                <c:pt idx="812">
                  <c:v>-6.3259244438260147</c:v>
                </c:pt>
                <c:pt idx="813">
                  <c:v>-6.3700045567013595</c:v>
                </c:pt>
                <c:pt idx="814">
                  <c:v>-6.4138454145750723</c:v>
                </c:pt>
                <c:pt idx="815">
                  <c:v>-6.4574445842672477</c:v>
                </c:pt>
                <c:pt idx="816">
                  <c:v>-6.500799717155842</c:v>
                </c:pt>
                <c:pt idx="817">
                  <c:v>-6.5439085484173098</c:v>
                </c:pt>
                <c:pt idx="818">
                  <c:v>-6.5867688962488966</c:v>
                </c:pt>
                <c:pt idx="819">
                  <c:v>-6.6293786610734733</c:v>
                </c:pt>
                <c:pt idx="820">
                  <c:v>-6.6717358247276533</c:v>
                </c:pt>
                <c:pt idx="821">
                  <c:v>-6.7138384496339629</c:v>
                </c:pt>
                <c:pt idx="822">
                  <c:v>-6.7556846779578263</c:v>
                </c:pt>
                <c:pt idx="823">
                  <c:v>-6.7972727307501675</c:v>
                </c:pt>
                <c:pt idx="824">
                  <c:v>-6.8386009070763114</c:v>
                </c:pt>
                <c:pt idx="825">
                  <c:v>-6.8796675831319787</c:v>
                </c:pt>
                <c:pt idx="826">
                  <c:v>-6.9204712113470936</c:v>
                </c:pt>
                <c:pt idx="827">
                  <c:v>-6.9610103194780892</c:v>
                </c:pt>
                <c:pt idx="828">
                  <c:v>-7.0012835096894577</c:v>
                </c:pt>
                <c:pt idx="829">
                  <c:v>-7.0412894576252416</c:v>
                </c:pt>
                <c:pt idx="830">
                  <c:v>-7.0810269114711222</c:v>
                </c:pt>
                <c:pt idx="831">
                  <c:v>-7.1204946910078277</c:v>
                </c:pt>
                <c:pt idx="832">
                  <c:v>-7.1596916866564726</c:v>
                </c:pt>
                <c:pt idx="833">
                  <c:v>-7.1986168585165293</c:v>
                </c:pt>
                <c:pt idx="834">
                  <c:v>-7.2372692353970729</c:v>
                </c:pt>
                <c:pt idx="835">
                  <c:v>-7.2756479138418593</c:v>
                </c:pt>
                <c:pt idx="836">
                  <c:v>-7.3137520571489594</c:v>
                </c:pt>
                <c:pt idx="837">
                  <c:v>-7.3515808943854735</c:v>
                </c:pt>
                <c:pt idx="838">
                  <c:v>-7.389133719397952</c:v>
                </c:pt>
                <c:pt idx="839">
                  <c:v>-7.426409889819106</c:v>
                </c:pt>
                <c:pt idx="840">
                  <c:v>-7.4634088260713485</c:v>
                </c:pt>
                <c:pt idx="841">
                  <c:v>-7.5001300103677906</c:v>
                </c:pt>
                <c:pt idx="842">
                  <c:v>-7.5365729857111106</c:v>
                </c:pt>
                <c:pt idx="843">
                  <c:v>-7.572737354890994</c:v>
                </c:pt>
                <c:pt idx="844">
                  <c:v>-7.6086227794804762</c:v>
                </c:pt>
                <c:pt idx="845">
                  <c:v>-7.6442289788318645</c:v>
                </c:pt>
                <c:pt idx="846">
                  <c:v>-7.67955572907261</c:v>
                </c:pt>
                <c:pt idx="847">
                  <c:v>-7.7146028621016818</c:v>
                </c:pt>
                <c:pt idx="848">
                  <c:v>-7.7493702645868492</c:v>
                </c:pt>
                <c:pt idx="849">
                  <c:v>-7.7838578769633529</c:v>
                </c:pt>
                <c:pt idx="850">
                  <c:v>-7.8180656924344856</c:v>
                </c:pt>
                <c:pt idx="851">
                  <c:v>-7.8519937559743092</c:v>
                </c:pt>
                <c:pt idx="852">
                  <c:v>-7.8856421633331628</c:v>
                </c:pt>
                <c:pt idx="853">
                  <c:v>-7.9190110600461869</c:v>
                </c:pt>
                <c:pt idx="854">
                  <c:v>-7.9521006404453161</c:v>
                </c:pt>
                <c:pt idx="855">
                  <c:v>-7.9849111466751781</c:v>
                </c:pt>
                <c:pt idx="856">
                  <c:v>-8.0174428677131218</c:v>
                </c:pt>
                <c:pt idx="857">
                  <c:v>-8.0496961383938874</c:v>
                </c:pt>
                <c:pt idx="858">
                  <c:v>-8.0816713384391168</c:v>
                </c:pt>
                <c:pt idx="859">
                  <c:v>-8.1133688914921738</c:v>
                </c:pt>
                <c:pt idx="860">
                  <c:v>-8.1447892641584509</c:v>
                </c:pt>
                <c:pt idx="861">
                  <c:v>-8.1759329650515742</c:v>
                </c:pt>
                <c:pt idx="862">
                  <c:v>-8.2068005438457394</c:v>
                </c:pt>
                <c:pt idx="863">
                  <c:v>-8.2373925903345206</c:v>
                </c:pt>
                <c:pt idx="864">
                  <c:v>-8.2677097334963161</c:v>
                </c:pt>
                <c:pt idx="865">
                  <c:v>-8.2977526405668431</c:v>
                </c:pt>
                <c:pt idx="866">
                  <c:v>-8.3275220161187757</c:v>
                </c:pt>
                <c:pt idx="867">
                  <c:v>-8.3570186011488747</c:v>
                </c:pt>
                <c:pt idx="868">
                  <c:v>-8.386243172172767</c:v>
                </c:pt>
                <c:pt idx="869">
                  <c:v>-8.4151965403276687</c:v>
                </c:pt>
                <c:pt idx="870">
                  <c:v>-8.443879550483139</c:v>
                </c:pt>
                <c:pt idx="871">
                  <c:v>-8.4722930803601919</c:v>
                </c:pt>
                <c:pt idx="872">
                  <c:v>-8.5004380396588317</c:v>
                </c:pt>
                <c:pt idx="873">
                  <c:v>-8.5283153691943223</c:v>
                </c:pt>
                <c:pt idx="874">
                  <c:v>-8.5559260400421788</c:v>
                </c:pt>
                <c:pt idx="875">
                  <c:v>-8.5832710526922398</c:v>
                </c:pt>
                <c:pt idx="876">
                  <c:v>-8.6103514362117686</c:v>
                </c:pt>
                <c:pt idx="877">
                  <c:v>-8.6371682474178897</c:v>
                </c:pt>
                <c:pt idx="878">
                  <c:v>-8.6637225700594076</c:v>
                </c:pt>
                <c:pt idx="879">
                  <c:v>-8.6900155140080724</c:v>
                </c:pt>
                <c:pt idx="880">
                  <c:v>-8.7160482144595601</c:v>
                </c:pt>
                <c:pt idx="881">
                  <c:v>-8.7160739498214834</c:v>
                </c:pt>
                <c:pt idx="882">
                  <c:v>-8.7160996849273147</c:v>
                </c:pt>
                <c:pt idx="883">
                  <c:v>-8.7161254197770663</c:v>
                </c:pt>
                <c:pt idx="884">
                  <c:v>-8.7161511543707224</c:v>
                </c:pt>
                <c:pt idx="885">
                  <c:v>-8.7161768887082935</c:v>
                </c:pt>
                <c:pt idx="886">
                  <c:v>-8.7162026227897886</c:v>
                </c:pt>
                <c:pt idx="887">
                  <c:v>-8.7162283566151988</c:v>
                </c:pt>
                <c:pt idx="888">
                  <c:v>-8.7162540901845205</c:v>
                </c:pt>
                <c:pt idx="889">
                  <c:v>-8.7162798234977661</c:v>
                </c:pt>
                <c:pt idx="890">
                  <c:v>-8.7163055565549374</c:v>
                </c:pt>
                <c:pt idx="891">
                  <c:v>-8.7163312893560221</c:v>
                </c:pt>
                <c:pt idx="892">
                  <c:v>-8.7163570219010342</c:v>
                </c:pt>
                <c:pt idx="893">
                  <c:v>-8.7163827541899686</c:v>
                </c:pt>
                <c:pt idx="894">
                  <c:v>-8.716408486222825</c:v>
                </c:pt>
                <c:pt idx="895">
                  <c:v>-8.7164342179996126</c:v>
                </c:pt>
                <c:pt idx="896">
                  <c:v>-8.7164599495203241</c:v>
                </c:pt>
                <c:pt idx="897">
                  <c:v>-8.7164856807849649</c:v>
                </c:pt>
                <c:pt idx="898">
                  <c:v>-8.7165114117935403</c:v>
                </c:pt>
                <c:pt idx="899">
                  <c:v>-8.7165371425460414</c:v>
                </c:pt>
                <c:pt idx="900">
                  <c:v>-8.7165628730424789</c:v>
                </c:pt>
                <c:pt idx="901">
                  <c:v>-8.716588603282851</c:v>
                </c:pt>
                <c:pt idx="902">
                  <c:v>-8.7166143332671542</c:v>
                </c:pt>
                <c:pt idx="903">
                  <c:v>-8.7166400629953955</c:v>
                </c:pt>
                <c:pt idx="904">
                  <c:v>-8.7166657924675697</c:v>
                </c:pt>
                <c:pt idx="905">
                  <c:v>-8.716691521683682</c:v>
                </c:pt>
                <c:pt idx="906">
                  <c:v>-8.7167172506437325</c:v>
                </c:pt>
                <c:pt idx="907">
                  <c:v>-8.7167429793477247</c:v>
                </c:pt>
                <c:pt idx="908">
                  <c:v>-8.7167687077956639</c:v>
                </c:pt>
                <c:pt idx="909">
                  <c:v>-8.7167944359875396</c:v>
                </c:pt>
                <c:pt idx="910">
                  <c:v>-8.7168201639233569</c:v>
                </c:pt>
                <c:pt idx="911">
                  <c:v>-8.7168458916031231</c:v>
                </c:pt>
                <c:pt idx="912">
                  <c:v>-8.7168716190268327</c:v>
                </c:pt>
                <c:pt idx="913">
                  <c:v>-8.7168973461944894</c:v>
                </c:pt>
                <c:pt idx="914">
                  <c:v>-8.7169230731060985</c:v>
                </c:pt>
                <c:pt idx="915">
                  <c:v>-8.7169487997616546</c:v>
                </c:pt>
                <c:pt idx="916">
                  <c:v>-8.7169745261611631</c:v>
                </c:pt>
                <c:pt idx="917">
                  <c:v>-8.7170002523046204</c:v>
                </c:pt>
                <c:pt idx="918">
                  <c:v>-8.7170259781920336</c:v>
                </c:pt>
                <c:pt idx="919">
                  <c:v>-8.7170517038233992</c:v>
                </c:pt>
                <c:pt idx="920">
                  <c:v>-8.7170774291987208</c:v>
                </c:pt>
                <c:pt idx="921">
                  <c:v>-8.7171031543180018</c:v>
                </c:pt>
                <c:pt idx="922">
                  <c:v>-8.7171288791812351</c:v>
                </c:pt>
                <c:pt idx="923">
                  <c:v>-8.7171546037884315</c:v>
                </c:pt>
                <c:pt idx="924">
                  <c:v>-8.7171803281395857</c:v>
                </c:pt>
                <c:pt idx="925">
                  <c:v>-8.7172060522347028</c:v>
                </c:pt>
                <c:pt idx="926">
                  <c:v>-8.7172317760737812</c:v>
                </c:pt>
                <c:pt idx="927">
                  <c:v>-8.7172574996568226</c:v>
                </c:pt>
                <c:pt idx="928">
                  <c:v>-8.7172832229838288</c:v>
                </c:pt>
                <c:pt idx="929">
                  <c:v>-8.7173089460548034</c:v>
                </c:pt>
                <c:pt idx="930">
                  <c:v>-8.7173346688697428</c:v>
                </c:pt>
                <c:pt idx="931">
                  <c:v>-8.7173603914286542</c:v>
                </c:pt>
                <c:pt idx="932">
                  <c:v>-8.717386113731532</c:v>
                </c:pt>
                <c:pt idx="933">
                  <c:v>-8.7174118357783783</c:v>
                </c:pt>
                <c:pt idx="934">
                  <c:v>-8.7174375575691982</c:v>
                </c:pt>
                <c:pt idx="935">
                  <c:v>-8.7174632791039866</c:v>
                </c:pt>
                <c:pt idx="936">
                  <c:v>-8.7174890003827556</c:v>
                </c:pt>
                <c:pt idx="937">
                  <c:v>-8.7175147214054984</c:v>
                </c:pt>
                <c:pt idx="938">
                  <c:v>-8.7175404421722096</c:v>
                </c:pt>
                <c:pt idx="939">
                  <c:v>-8.7175661626829051</c:v>
                </c:pt>
                <c:pt idx="940">
                  <c:v>-8.7175918829375778</c:v>
                </c:pt>
                <c:pt idx="941">
                  <c:v>-8.7176176029362349</c:v>
                </c:pt>
                <c:pt idx="942">
                  <c:v>-8.7176433226788674</c:v>
                </c:pt>
                <c:pt idx="943">
                  <c:v>-8.7176690421654808</c:v>
                </c:pt>
                <c:pt idx="944">
                  <c:v>-8.7176947613960838</c:v>
                </c:pt>
                <c:pt idx="945">
                  <c:v>-8.717720480370664</c:v>
                </c:pt>
                <c:pt idx="946">
                  <c:v>-8.7177461990892322</c:v>
                </c:pt>
                <c:pt idx="947">
                  <c:v>-8.7177719175517829</c:v>
                </c:pt>
                <c:pt idx="948">
                  <c:v>-8.7177976357583287</c:v>
                </c:pt>
                <c:pt idx="949">
                  <c:v>-8.7178233537088623</c:v>
                </c:pt>
                <c:pt idx="950">
                  <c:v>-8.7178490714033838</c:v>
                </c:pt>
                <c:pt idx="951">
                  <c:v>-8.7178747888419004</c:v>
                </c:pt>
                <c:pt idx="952">
                  <c:v>-8.7179005060244048</c:v>
                </c:pt>
                <c:pt idx="953">
                  <c:v>-8.7179262229509096</c:v>
                </c:pt>
                <c:pt idx="954">
                  <c:v>-8.7179519396214022</c:v>
                </c:pt>
                <c:pt idx="955">
                  <c:v>-8.7179776560358899</c:v>
                </c:pt>
                <c:pt idx="956">
                  <c:v>-8.7180033721943797</c:v>
                </c:pt>
                <c:pt idx="957">
                  <c:v>-8.7180290880968663</c:v>
                </c:pt>
                <c:pt idx="958">
                  <c:v>-8.7180548037433478</c:v>
                </c:pt>
                <c:pt idx="959">
                  <c:v>-8.7180805191338351</c:v>
                </c:pt>
                <c:pt idx="960">
                  <c:v>-8.7181062342683244</c:v>
                </c:pt>
                <c:pt idx="961">
                  <c:v>-8.7181319491468159</c:v>
                </c:pt>
                <c:pt idx="962">
                  <c:v>-8.7181576637693148</c:v>
                </c:pt>
                <c:pt idx="963">
                  <c:v>-8.7181833781358176</c:v>
                </c:pt>
                <c:pt idx="964">
                  <c:v>-8.7182090922463207</c:v>
                </c:pt>
                <c:pt idx="965">
                  <c:v>-8.7182348061008383</c:v>
                </c:pt>
                <c:pt idx="966">
                  <c:v>-8.7182605196993581</c:v>
                </c:pt>
                <c:pt idx="967">
                  <c:v>-8.7182862330418889</c:v>
                </c:pt>
                <c:pt idx="968">
                  <c:v>-8.718311946128436</c:v>
                </c:pt>
                <c:pt idx="969">
                  <c:v>-8.7183376589589905</c:v>
                </c:pt>
                <c:pt idx="970">
                  <c:v>-8.7183633715335649</c:v>
                </c:pt>
                <c:pt idx="971">
                  <c:v>-8.7183890838521449</c:v>
                </c:pt>
                <c:pt idx="972">
                  <c:v>-8.7184147959147449</c:v>
                </c:pt>
                <c:pt idx="973">
                  <c:v>-8.7184405077213629</c:v>
                </c:pt>
                <c:pt idx="974">
                  <c:v>-8.7184662192719937</c:v>
                </c:pt>
                <c:pt idx="975">
                  <c:v>-8.7184919305666533</c:v>
                </c:pt>
                <c:pt idx="976">
                  <c:v>-8.7185176416053274</c:v>
                </c:pt>
                <c:pt idx="977">
                  <c:v>-8.7185433523880231</c:v>
                </c:pt>
                <c:pt idx="978">
                  <c:v>-8.718569062914737</c:v>
                </c:pt>
                <c:pt idx="979">
                  <c:v>-8.7185947731854849</c:v>
                </c:pt>
                <c:pt idx="980">
                  <c:v>-8.718620483200251</c:v>
                </c:pt>
                <c:pt idx="981">
                  <c:v>-8.7186461929590457</c:v>
                </c:pt>
                <c:pt idx="982">
                  <c:v>-8.7186719024618693</c:v>
                </c:pt>
                <c:pt idx="983">
                  <c:v>-8.7186976117087145</c:v>
                </c:pt>
                <c:pt idx="984">
                  <c:v>-8.7187233206995991</c:v>
                </c:pt>
                <c:pt idx="985">
                  <c:v>-8.7187490294345089</c:v>
                </c:pt>
                <c:pt idx="986">
                  <c:v>-8.7187747379134493</c:v>
                </c:pt>
                <c:pt idx="987">
                  <c:v>-8.7188004461364255</c:v>
                </c:pt>
                <c:pt idx="988">
                  <c:v>-8.7188261541034322</c:v>
                </c:pt>
                <c:pt idx="989">
                  <c:v>-8.7188518618144766</c:v>
                </c:pt>
                <c:pt idx="990">
                  <c:v>-8.7188775692695568</c:v>
                </c:pt>
                <c:pt idx="991">
                  <c:v>-8.7189032764686818</c:v>
                </c:pt>
                <c:pt idx="992">
                  <c:v>-8.7189289834118355</c:v>
                </c:pt>
                <c:pt idx="993">
                  <c:v>-8.7189546900990358</c:v>
                </c:pt>
                <c:pt idx="994">
                  <c:v>-8.7189803965302701</c:v>
                </c:pt>
                <c:pt idx="995">
                  <c:v>-8.7190061027055528</c:v>
                </c:pt>
                <c:pt idx="996">
                  <c:v>-8.7190318086248819</c:v>
                </c:pt>
                <c:pt idx="997">
                  <c:v>-8.7190575142882487</c:v>
                </c:pt>
                <c:pt idx="998">
                  <c:v>-8.7190832196956674</c:v>
                </c:pt>
                <c:pt idx="999">
                  <c:v>-8.7191089248471272</c:v>
                </c:pt>
                <c:pt idx="1000">
                  <c:v>-8.7191346297426424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4C-DF48-ADA1-B093CE44B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53360"/>
        <c:axId val="1"/>
      </c:scatterChart>
      <c:valAx>
        <c:axId val="1805953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Accélérations [m/s²]_</a:t>
                </a:r>
              </a:p>
            </c:rich>
          </c:tx>
          <c:layout>
            <c:manualLayout>
              <c:xMode val="edge"/>
              <c:yMode val="edge"/>
              <c:x val="2.7122641509433963E-2"/>
              <c:y val="0.297386526684164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533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491258030774126"/>
          <c:y val="0.25214561439489114"/>
          <c:w val="0.28593070606586024"/>
          <c:h val="0.153851561325696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FR"/>
              <a:t>Positions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674528301886802"/>
          <c:y val="9.4771544282144501E-2"/>
          <c:w val="0.86438679245283023"/>
          <c:h val="0.73856444854360881"/>
        </c:manualLayout>
      </c:layout>
      <c:scatterChart>
        <c:scatterStyle val="lineMarker"/>
        <c:varyColors val="0"/>
        <c:ser>
          <c:idx val="0"/>
          <c:order val="0"/>
          <c:tx>
            <c:strRef>
              <c:f>Courbes!$B$144</c:f>
              <c:strCache>
                <c:ptCount val="1"/>
                <c:pt idx="0">
                  <c:v>Portée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Calculs!$J$4:$J$1004</c:f>
              <c:numCache>
                <c:formatCode>0.00</c:formatCode>
                <c:ptCount val="1001"/>
                <c:pt idx="0">
                  <c:v>0</c:v>
                </c:pt>
                <c:pt idx="1">
                  <c:v>3.2199094759923535E-5</c:v>
                </c:pt>
                <c:pt idx="2">
                  <c:v>2.1130532509346415E-4</c:v>
                </c:pt>
                <c:pt idx="3">
                  <c:v>6.540739961863524E-4</c:v>
                </c:pt>
                <c:pt idx="4">
                  <c:v>1.4290213695358658E-3</c:v>
                </c:pt>
                <c:pt idx="5">
                  <c:v>2.6047145707411034E-3</c:v>
                </c:pt>
                <c:pt idx="6">
                  <c:v>4.2497790892093677E-3</c:v>
                </c:pt>
                <c:pt idx="7">
                  <c:v>6.4329061678809136E-3</c:v>
                </c:pt>
                <c:pt idx="8">
                  <c:v>9.2228600852004659E-3</c:v>
                </c:pt>
                <c:pt idx="9">
                  <c:v>1.2688485331438107E-2</c:v>
                </c:pt>
                <c:pt idx="10">
                  <c:v>1.689871368133937E-2</c:v>
                </c:pt>
                <c:pt idx="11">
                  <c:v>2.1902866108771839E-2</c:v>
                </c:pt>
                <c:pt idx="12">
                  <c:v>2.7710911850952643E-2</c:v>
                </c:pt>
                <c:pt idx="13">
                  <c:v>3.4312964282020145E-2</c:v>
                </c:pt>
                <c:pt idx="14">
                  <c:v>4.1698816020665795E-2</c:v>
                </c:pt>
                <c:pt idx="15">
                  <c:v>4.985808892105982E-2</c:v>
                </c:pt>
                <c:pt idx="16">
                  <c:v>5.8780384365414995E-2</c:v>
                </c:pt>
                <c:pt idx="17">
                  <c:v>6.8455283655367585E-2</c:v>
                </c:pt>
                <c:pt idx="18">
                  <c:v>7.8872348402383066E-2</c:v>
                </c:pt>
                <c:pt idx="19">
                  <c:v>9.0021120917124192E-2</c:v>
                </c:pt>
                <c:pt idx="20">
                  <c:v>0.10189112459771937</c:v>
                </c:pt>
                <c:pt idx="21">
                  <c:v>0.11447186431686993</c:v>
                </c:pt>
                <c:pt idx="22">
                  <c:v>0.12775282680773567</c:v>
                </c:pt>
                <c:pt idx="23">
                  <c:v>0.14172348104853855</c:v>
                </c:pt>
                <c:pt idx="24">
                  <c:v>0.15637327864582479</c:v>
                </c:pt>
                <c:pt idx="25">
                  <c:v>0.17169165421632704</c:v>
                </c:pt>
                <c:pt idx="26">
                  <c:v>0.18766802576736791</c:v>
                </c:pt>
                <c:pt idx="27">
                  <c:v>0.20429444169256411</c:v>
                </c:pt>
                <c:pt idx="28">
                  <c:v>0.22156823173329301</c:v>
                </c:pt>
                <c:pt idx="29">
                  <c:v>0.23948936634624024</c:v>
                </c:pt>
                <c:pt idx="30">
                  <c:v>0.25805781191362032</c:v>
                </c:pt>
                <c:pt idx="31">
                  <c:v>0.27727353073976652</c:v>
                </c:pt>
                <c:pt idx="32">
                  <c:v>0.29713648104783591</c:v>
                </c:pt>
                <c:pt idx="33">
                  <c:v>0.31764661697663005</c:v>
                </c:pt>
                <c:pt idx="34">
                  <c:v>0.33880388857753163</c:v>
                </c:pt>
                <c:pt idx="35">
                  <c:v>0.36060824181155726</c:v>
                </c:pt>
                <c:pt idx="36">
                  <c:v>0.38310222374120001</c:v>
                </c:pt>
                <c:pt idx="37">
                  <c:v>0.40632972650622212</c:v>
                </c:pt>
                <c:pt idx="38">
                  <c:v>0.43029336870816365</c:v>
                </c:pt>
                <c:pt idx="39">
                  <c:v>0.45499571994781773</c:v>
                </c:pt>
                <c:pt idx="40">
                  <c:v>0.48043928427685384</c:v>
                </c:pt>
                <c:pt idx="41">
                  <c:v>0.50662650311857726</c:v>
                </c:pt>
                <c:pt idx="42">
                  <c:v>0.53355975797635569</c:v>
                </c:pt>
                <c:pt idx="43">
                  <c:v>0.56124137294995491</c:v>
                </c:pt>
                <c:pt idx="44">
                  <c:v>0.58967361707765753</c:v>
                </c:pt>
                <c:pt idx="45">
                  <c:v>0.61885870651999697</c:v>
                </c:pt>
                <c:pt idx="46">
                  <c:v>0.64879880659917333</c:v>
                </c:pt>
                <c:pt idx="47">
                  <c:v>0.67949603370668321</c:v>
                </c:pt>
                <c:pt idx="48">
                  <c:v>0.71095245709035693</c:v>
                </c:pt>
                <c:pt idx="49">
                  <c:v>0.74317010053083021</c:v>
                </c:pt>
                <c:pt idx="50">
                  <c:v>0.77615094391644979</c:v>
                </c:pt>
                <c:pt idx="51">
                  <c:v>0.80989692472471453</c:v>
                </c:pt>
                <c:pt idx="52">
                  <c:v>0.84440993941755504</c:v>
                </c:pt>
                <c:pt idx="53">
                  <c:v>0.8796918447570562</c:v>
                </c:pt>
                <c:pt idx="54">
                  <c:v>0.91574445904760093</c:v>
                </c:pt>
                <c:pt idx="55">
                  <c:v>0.95256956330986331</c:v>
                </c:pt>
                <c:pt idx="56">
                  <c:v>0.99016890239158339</c:v>
                </c:pt>
                <c:pt idx="57">
                  <c:v>1.0285441860196192</c:v>
                </c:pt>
                <c:pt idx="58">
                  <c:v>1.0676970897973757</c:v>
                </c:pt>
                <c:pt idx="59">
                  <c:v>1.1076292561513594</c:v>
                </c:pt>
                <c:pt idx="60">
                  <c:v>1.1483422952302891</c:v>
                </c:pt>
                <c:pt idx="61">
                  <c:v>1.1898377857599103</c:v>
                </c:pt>
                <c:pt idx="62">
                  <c:v>1.2321172758564016</c:v>
                </c:pt>
                <c:pt idx="63">
                  <c:v>1.2751822838010314</c:v>
                </c:pt>
                <c:pt idx="64">
                  <c:v>1.3190342987785095</c:v>
                </c:pt>
                <c:pt idx="65">
                  <c:v>1.3636747815812957</c:v>
                </c:pt>
                <c:pt idx="66">
                  <c:v>1.4091051652819433</c:v>
                </c:pt>
                <c:pt idx="67">
                  <c:v>1.4553268558754098</c:v>
                </c:pt>
                <c:pt idx="68">
                  <c:v>1.5023412328931154</c:v>
                </c:pt>
                <c:pt idx="69">
                  <c:v>1.5501496499904051</c:v>
                </c:pt>
                <c:pt idx="70">
                  <c:v>1.5987534355089477</c:v>
                </c:pt>
                <c:pt idx="71">
                  <c:v>1.6481538930154982</c:v>
                </c:pt>
                <c:pt idx="72">
                  <c:v>1.6983522686137009</c:v>
                </c:pt>
                <c:pt idx="73">
                  <c:v>1.749349718010007</c:v>
                </c:pt>
                <c:pt idx="74">
                  <c:v>1.8011473399003297</c:v>
                </c:pt>
                <c:pt idx="75">
                  <c:v>1.8537462095696</c:v>
                </c:pt>
                <c:pt idx="76">
                  <c:v>1.9071473793441465</c:v>
                </c:pt>
                <c:pt idx="77">
                  <c:v>1.9613518790266637</c:v>
                </c:pt>
                <c:pt idx="78">
                  <c:v>2.0163607163146819</c:v>
                </c:pt>
                <c:pt idx="79">
                  <c:v>2.0721748772033806</c:v>
                </c:pt>
                <c:pt idx="80">
                  <c:v>2.1287953263735471</c:v>
                </c:pt>
                <c:pt idx="81">
                  <c:v>2.1862230075654243</c:v>
                </c:pt>
                <c:pt idx="82">
                  <c:v>2.2444588439391437</c:v>
                </c:pt>
                <c:pt idx="83">
                  <c:v>2.303503738422406</c:v>
                </c:pt>
                <c:pt idx="84">
                  <c:v>2.3633585740460252</c:v>
                </c:pt>
                <c:pt idx="85">
                  <c:v>2.4240242142679178</c:v>
                </c:pt>
                <c:pt idx="86">
                  <c:v>2.4855015032860819</c:v>
                </c:pt>
                <c:pt idx="87">
                  <c:v>2.5477912663410853</c:v>
                </c:pt>
                <c:pt idx="88">
                  <c:v>2.6108943100085478</c:v>
                </c:pt>
                <c:pt idx="89">
                  <c:v>2.6748114224820716</c:v>
                </c:pt>
                <c:pt idx="90">
                  <c:v>2.7395433738470607</c:v>
                </c:pt>
                <c:pt idx="91">
                  <c:v>2.8050909163458293</c:v>
                </c:pt>
                <c:pt idx="92">
                  <c:v>2.8714547846343943</c:v>
                </c:pt>
                <c:pt idx="93">
                  <c:v>2.9386356960313096</c:v>
                </c:pt>
                <c:pt idx="94">
                  <c:v>3.0066343507588944</c:v>
                </c:pt>
                <c:pt idx="95">
                  <c:v>3.0754514321771786</c:v>
                </c:pt>
                <c:pt idx="96">
                  <c:v>3.14508760701088</c:v>
                </c:pt>
                <c:pt idx="97">
                  <c:v>3.215543525569704</c:v>
                </c:pt>
                <c:pt idx="98">
                  <c:v>3.2868198219622475</c:v>
                </c:pt>
                <c:pt idx="99">
                  <c:v>3.3589171143037708</c:v>
                </c:pt>
                <c:pt idx="100">
                  <c:v>3.4318360049180918</c:v>
                </c:pt>
                <c:pt idx="101">
                  <c:v>3.5055770805338367</c:v>
                </c:pt>
                <c:pt idx="102">
                  <c:v>3.5801409124752803</c:v>
                </c:pt>
                <c:pt idx="103">
                  <c:v>3.6555280568479906</c:v>
                </c:pt>
                <c:pt idx="104">
                  <c:v>3.7317390547194806</c:v>
                </c:pt>
                <c:pt idx="105">
                  <c:v>3.8087744322950674</c:v>
                </c:pt>
                <c:pt idx="106">
                  <c:v>3.8866347010891227</c:v>
                </c:pt>
                <c:pt idx="107">
                  <c:v>3.9653203580918963</c:v>
                </c:pt>
                <c:pt idx="108">
                  <c:v>4.0448318859320764</c:v>
                </c:pt>
                <c:pt idx="109">
                  <c:v>4.1251697530352551</c:v>
                </c:pt>
                <c:pt idx="110">
                  <c:v>4.2063344137784489</c:v>
                </c:pt>
                <c:pt idx="111">
                  <c:v>4.2883263086408228</c:v>
                </c:pt>
                <c:pt idx="112">
                  <c:v>4.3711458643507646</c:v>
                </c:pt>
                <c:pt idx="113">
                  <c:v>4.4547934940294311</c:v>
                </c:pt>
                <c:pt idx="114">
                  <c:v>4.5392695973309101</c:v>
                </c:pt>
                <c:pt idx="115">
                  <c:v>4.6245745605791093</c:v>
                </c:pt>
                <c:pt idx="116">
                  <c:v>4.7107087569014965</c:v>
                </c:pt>
                <c:pt idx="117">
                  <c:v>4.7976725463598031</c:v>
                </c:pt>
                <c:pt idx="118">
                  <c:v>4.8854662760777954</c:v>
                </c:pt>
                <c:pt idx="119">
                  <c:v>4.9740902803662204</c:v>
                </c:pt>
                <c:pt idx="120">
                  <c:v>5.063544880845023</c:v>
                </c:pt>
                <c:pt idx="121">
                  <c:v>5.153830386562932</c:v>
                </c:pt>
                <c:pt idx="122">
                  <c:v>5.2449470941145035</c:v>
                </c:pt>
                <c:pt idx="123">
                  <c:v>5.3368952877547082</c:v>
                </c:pt>
                <c:pt idx="124">
                  <c:v>5.4296752395111501</c:v>
                </c:pt>
                <c:pt idx="125">
                  <c:v>5.5232872092939935</c:v>
                </c:pt>
                <c:pt idx="126">
                  <c:v>5.6177314450036775</c:v>
                </c:pt>
                <c:pt idx="127">
                  <c:v>5.7130081826364894</c:v>
                </c:pt>
                <c:pt idx="128">
                  <c:v>5.8091176463880707</c:v>
                </c:pt>
                <c:pt idx="129">
                  <c:v>5.9060598832365283</c:v>
                </c:pt>
                <c:pt idx="130">
                  <c:v>6.0038345968666045</c:v>
                </c:pt>
                <c:pt idx="131">
                  <c:v>6.1024413124659427</c:v>
                </c:pt>
                <c:pt idx="132">
                  <c:v>6.2018795421920805</c:v>
                </c:pt>
                <c:pt idx="133">
                  <c:v>6.3021487852974074</c:v>
                </c:pt>
                <c:pt idx="134">
                  <c:v>6.403248528251984</c:v>
                </c:pt>
                <c:pt idx="135">
                  <c:v>6.5051782448642763</c:v>
                </c:pt>
                <c:pt idx="136">
                  <c:v>6.6079373963998904</c:v>
                </c:pt>
                <c:pt idx="137">
                  <c:v>6.7115254316983535</c:v>
                </c:pt>
                <c:pt idx="138">
                  <c:v>6.8159417872880175</c:v>
                </c:pt>
                <c:pt idx="139">
                  <c:v>6.9211858874991341</c:v>
                </c:pt>
                <c:pt idx="140">
                  <c:v>7.0272571445751657</c:v>
                </c:pt>
                <c:pt idx="141">
                  <c:v>7.134154958782382</c:v>
                </c:pt>
                <c:pt idx="142">
                  <c:v>7.2418787185177989</c:v>
                </c:pt>
                <c:pt idx="143">
                  <c:v>7.3504278004155035</c:v>
                </c:pt>
                <c:pt idx="144">
                  <c:v>7.459801569451427</c:v>
                </c:pt>
                <c:pt idx="145">
                  <c:v>7.569999379046596</c:v>
                </c:pt>
                <c:pt idx="146">
                  <c:v>7.6810205711689212</c:v>
                </c:pt>
                <c:pt idx="147">
                  <c:v>7.7928644764335608</c:v>
                </c:pt>
                <c:pt idx="148">
                  <c:v>7.9055304142018992</c:v>
                </c:pt>
                <c:pt idx="149">
                  <c:v>8.0190176926791885</c:v>
                </c:pt>
                <c:pt idx="150">
                  <c:v>8.1333256090108836</c:v>
                </c:pt>
                <c:pt idx="151">
                  <c:v>8.2484534493777115</c:v>
                </c:pt>
                <c:pt idx="152">
                  <c:v>8.3644004890895154</c:v>
                </c:pt>
                <c:pt idx="153">
                  <c:v>8.4811659926779051</c:v>
                </c:pt>
                <c:pt idx="154">
                  <c:v>8.5987492139877393</c:v>
                </c:pt>
                <c:pt idx="155">
                  <c:v>8.7171493962674909</c:v>
                </c:pt>
                <c:pt idx="156">
                  <c:v>8.8363657722585103</c:v>
                </c:pt>
                <c:pt idx="157">
                  <c:v>8.9563975642832219</c:v>
                </c:pt>
                <c:pt idx="158">
                  <c:v>9.0772439843322896</c:v>
                </c:pt>
                <c:pt idx="159">
                  <c:v>9.198904234150767</c:v>
                </c:pt>
                <c:pt idx="160">
                  <c:v>9.3213775053232695</c:v>
                </c:pt>
                <c:pt idx="161">
                  <c:v>9.4446629793581955</c:v>
                </c:pt>
                <c:pt idx="162">
                  <c:v>9.5687598277710109</c:v>
                </c:pt>
                <c:pt idx="163">
                  <c:v>9.6936672121666305</c:v>
                </c:pt>
                <c:pt idx="164">
                  <c:v>9.8193842843209289</c:v>
                </c:pt>
                <c:pt idx="165">
                  <c:v>9.9459101862613739</c:v>
                </c:pt>
                <c:pt idx="166">
                  <c:v>10.073244050346839</c:v>
                </c:pt>
                <c:pt idx="167">
                  <c:v>10.201384999346599</c:v>
                </c:pt>
                <c:pt idx="168">
                  <c:v>10.330332146518527</c:v>
                </c:pt>
                <c:pt idx="169">
                  <c:v>10.460084595686521</c:v>
                </c:pt>
                <c:pt idx="170">
                  <c:v>10.590641441317171</c:v>
                </c:pt>
                <c:pt idx="171">
                  <c:v>10.7220017685957</c:v>
                </c:pt>
                <c:pt idx="172">
                  <c:v>10.854164653501178</c:v>
                </c:pt>
                <c:pt idx="173">
                  <c:v>10.987129162881038</c:v>
                </c:pt>
                <c:pt idx="174">
                  <c:v>11.120894354524916</c:v>
                </c:pt>
                <c:pt idx="175">
                  <c:v>11.25545927723781</c:v>
                </c:pt>
                <c:pt idx="176">
                  <c:v>11.3908229709126</c:v>
                </c:pt>
                <c:pt idx="177">
                  <c:v>11.526984466601927</c:v>
                </c:pt>
                <c:pt idx="178">
                  <c:v>11.663942786589455</c:v>
                </c:pt>
                <c:pt idx="179">
                  <c:v>11.801696944460517</c:v>
                </c:pt>
                <c:pt idx="180">
                  <c:v>11.940245945172178</c:v>
                </c:pt>
                <c:pt idx="181">
                  <c:v>12.079588785122718</c:v>
                </c:pt>
                <c:pt idx="182">
                  <c:v>12.219724452220541</c:v>
                </c:pt>
                <c:pt idx="183">
                  <c:v>12.36065192595254</c:v>
                </c:pt>
                <c:pt idx="184">
                  <c:v>12.502370177451914</c:v>
                </c:pt>
                <c:pt idx="185">
                  <c:v>12.644878169565454</c:v>
                </c:pt>
                <c:pt idx="186">
                  <c:v>12.788174856920316</c:v>
                </c:pt>
                <c:pt idx="187">
                  <c:v>12.93225918599029</c:v>
                </c:pt>
                <c:pt idx="188">
                  <c:v>13.077130095161559</c:v>
                </c:pt>
                <c:pt idx="189">
                  <c:v>13.222786514797985</c:v>
                </c:pt>
                <c:pt idx="190">
                  <c:v>13.369227367305912</c:v>
                </c:pt>
                <c:pt idx="191">
                  <c:v>13.516451567198505</c:v>
                </c:pt>
                <c:pt idx="192">
                  <c:v>13.664458021159634</c:v>
                </c:pt>
                <c:pt idx="193">
                  <c:v>13.813245628107303</c:v>
                </c:pt>
                <c:pt idx="194">
                  <c:v>13.962813279256652</c:v>
                </c:pt>
                <c:pt idx="195">
                  <c:v>14.113159858182517</c:v>
                </c:pt>
                <c:pt idx="196">
                  <c:v>14.264284240881572</c:v>
                </c:pt>
                <c:pt idx="197">
                  <c:v>14.416185295834062</c:v>
                </c:pt>
                <c:pt idx="198">
                  <c:v>14.56886188406512</c:v>
                </c:pt>
                <c:pt idx="199">
                  <c:v>14.722312859205697</c:v>
                </c:pt>
                <c:pt idx="200">
                  <c:v>14.876537067553089</c:v>
                </c:pt>
                <c:pt idx="201">
                  <c:v>15.031533348131088</c:v>
                </c:pt>
                <c:pt idx="202">
                  <c:v>15.187300532749752</c:v>
                </c:pt>
                <c:pt idx="203">
                  <c:v>15.343837446064803</c:v>
                </c:pt>
                <c:pt idx="204">
                  <c:v>15.501142905636666</c:v>
                </c:pt>
                <c:pt idx="205">
                  <c:v>15.65921572198914</c:v>
                </c:pt>
                <c:pt idx="206">
                  <c:v>15.818054655645556</c:v>
                </c:pt>
                <c:pt idx="207">
                  <c:v>15.977658374066227</c:v>
                </c:pt>
                <c:pt idx="208">
                  <c:v>16.138025494625222</c:v>
                </c:pt>
                <c:pt idx="209">
                  <c:v>16.299154627687663</c:v>
                </c:pt>
                <c:pt idx="210">
                  <c:v>16.461044376671744</c:v>
                </c:pt>
                <c:pt idx="211">
                  <c:v>16.623693338110375</c:v>
                </c:pt>
                <c:pt idx="212">
                  <c:v>16.787100101712486</c:v>
                </c:pt>
                <c:pt idx="213">
                  <c:v>16.951263250423949</c:v>
                </c:pt>
                <c:pt idx="214">
                  <c:v>17.116181360488163</c:v>
                </c:pt>
                <c:pt idx="215">
                  <c:v>17.281853001506306</c:v>
                </c:pt>
                <c:pt idx="216">
                  <c:v>17.448276736497217</c:v>
                </c:pt>
                <c:pt idx="217">
                  <c:v>17.615451121956976</c:v>
                </c:pt>
                <c:pt idx="218">
                  <c:v>17.783374707918124</c:v>
                </c:pt>
                <c:pt idx="219">
                  <c:v>17.952046038008582</c:v>
                </c:pt>
                <c:pt idx="220">
                  <c:v>18.121463649510218</c:v>
                </c:pt>
                <c:pt idx="221">
                  <c:v>18.291626073417124</c:v>
                </c:pt>
                <c:pt idx="222">
                  <c:v>18.462531834493564</c:v>
                </c:pt>
                <c:pt idx="223">
                  <c:v>18.634179451331612</c:v>
                </c:pt>
                <c:pt idx="224">
                  <c:v>18.806567436408478</c:v>
                </c:pt>
                <c:pt idx="225">
                  <c:v>18.979694296143549</c:v>
                </c:pt>
                <c:pt idx="226">
                  <c:v>19.153558530955102</c:v>
                </c:pt>
                <c:pt idx="227">
                  <c:v>19.328158635316754</c:v>
                </c:pt>
                <c:pt idx="228">
                  <c:v>19.503493097813578</c:v>
                </c:pt>
                <c:pt idx="229">
                  <c:v>19.679560401197971</c:v>
                </c:pt>
                <c:pt idx="230">
                  <c:v>19.856359022445201</c:v>
                </c:pt>
                <c:pt idx="231">
                  <c:v>20.033887432808687</c:v>
                </c:pt>
                <c:pt idx="232">
                  <c:v>20.21214409787499</c:v>
                </c:pt>
                <c:pt idx="233">
                  <c:v>20.391127477618536</c:v>
                </c:pt>
                <c:pt idx="234">
                  <c:v>20.570836026456043</c:v>
                </c:pt>
                <c:pt idx="235">
                  <c:v>20.751268193300692</c:v>
                </c:pt>
                <c:pt idx="236">
                  <c:v>20.932422421616028</c:v>
                </c:pt>
                <c:pt idx="237">
                  <c:v>21.114297149469571</c:v>
                </c:pt>
                <c:pt idx="238">
                  <c:v>21.296890809586188</c:v>
                </c:pt>
                <c:pt idx="239">
                  <c:v>21.480201829401171</c:v>
                </c:pt>
                <c:pt idx="240">
                  <c:v>21.66422863111309</c:v>
                </c:pt>
                <c:pt idx="241">
                  <c:v>21.848969631736345</c:v>
                </c:pt>
                <c:pt idx="242">
                  <c:v>22.034423090932787</c:v>
                </c:pt>
                <c:pt idx="243">
                  <c:v>22.220586958575034</c:v>
                </c:pt>
                <c:pt idx="244">
                  <c:v>22.407459026782615</c:v>
                </c:pt>
                <c:pt idx="245">
                  <c:v>22.595037082233752</c:v>
                </c:pt>
                <c:pt idx="246">
                  <c:v>22.783318906232378</c:v>
                </c:pt>
                <c:pt idx="247">
                  <c:v>22.972302274774769</c:v>
                </c:pt>
                <c:pt idx="248">
                  <c:v>23.161984958615783</c:v>
                </c:pt>
                <c:pt idx="249">
                  <c:v>23.352364723334734</c:v>
                </c:pt>
                <c:pt idx="250">
                  <c:v>23.543439329400886</c:v>
                </c:pt>
                <c:pt idx="251">
                  <c:v>23.735206532238561</c:v>
                </c:pt>
                <c:pt idx="252">
                  <c:v>23.927664082291887</c:v>
                </c:pt>
                <c:pt idx="253">
                  <c:v>24.120809725089181</c:v>
                </c:pt>
                <c:pt idx="254">
                  <c:v>24.314641201306944</c:v>
                </c:pt>
                <c:pt idx="255">
                  <c:v>24.509156246833506</c:v>
                </c:pt>
                <c:pt idx="256">
                  <c:v>24.704352592832294</c:v>
                </c:pt>
                <c:pt idx="257">
                  <c:v>24.900227965804753</c:v>
                </c:pt>
                <c:pt idx="258">
                  <c:v>25.096780087652888</c:v>
                </c:pt>
                <c:pt idx="259">
                  <c:v>25.294006675741461</c:v>
                </c:pt>
                <c:pt idx="260">
                  <c:v>25.491905442959812</c:v>
                </c:pt>
                <c:pt idx="261">
                  <c:v>25.690474097783348</c:v>
                </c:pt>
                <c:pt idx="262">
                  <c:v>25.889710344334645</c:v>
                </c:pt>
                <c:pt idx="263">
                  <c:v>26.089611882444238</c:v>
                </c:pt>
                <c:pt idx="264">
                  <c:v>26.290176407711016</c:v>
                </c:pt>
                <c:pt idx="265">
                  <c:v>26.491401611562289</c:v>
                </c:pt>
                <c:pt idx="266">
                  <c:v>26.693285181313506</c:v>
                </c:pt>
                <c:pt idx="267">
                  <c:v>26.895824800227622</c:v>
                </c:pt>
                <c:pt idx="268">
                  <c:v>27.099018147574103</c:v>
                </c:pt>
                <c:pt idx="269">
                  <c:v>27.302862898687618</c:v>
                </c:pt>
                <c:pt idx="270">
                  <c:v>27.507356725026344</c:v>
                </c:pt>
                <c:pt idx="271">
                  <c:v>27.712497294229969</c:v>
                </c:pt>
                <c:pt idx="272">
                  <c:v>27.918282270177322</c:v>
                </c:pt>
                <c:pt idx="273">
                  <c:v>28.124709313043674</c:v>
                </c:pt>
                <c:pt idx="274">
                  <c:v>28.331776079357695</c:v>
                </c:pt>
                <c:pt idx="275">
                  <c:v>28.539480222058081</c:v>
                </c:pt>
                <c:pt idx="276">
                  <c:v>28.747819390549829</c:v>
                </c:pt>
                <c:pt idx="277">
                  <c:v>28.956791230760185</c:v>
                </c:pt>
                <c:pt idx="278">
                  <c:v>29.166393385194244</c:v>
                </c:pt>
                <c:pt idx="279">
                  <c:v>29.376623492990223</c:v>
                </c:pt>
                <c:pt idx="280">
                  <c:v>29.58747918997441</c:v>
                </c:pt>
                <c:pt idx="281">
                  <c:v>29.798958108715745</c:v>
                </c:pt>
                <c:pt idx="282">
                  <c:v>30.011057878580107</c:v>
                </c:pt>
                <c:pt idx="283">
                  <c:v>30.223776125784244</c:v>
                </c:pt>
                <c:pt idx="284">
                  <c:v>30.437110656492905</c:v>
                </c:pt>
                <c:pt idx="285">
                  <c:v>30.651059640140154</c:v>
                </c:pt>
                <c:pt idx="286">
                  <c:v>30.865621426564722</c:v>
                </c:pt>
                <c:pt idx="287">
                  <c:v>31.080794362912908</c:v>
                </c:pt>
                <c:pt idx="288">
                  <c:v>31.296576793675779</c:v>
                </c:pt>
                <c:pt idx="289">
                  <c:v>31.512967060726204</c:v>
                </c:pt>
                <c:pt idx="290">
                  <c:v>31.729963503355673</c:v>
                </c:pt>
                <c:pt idx="291">
                  <c:v>31.947564458310953</c:v>
                </c:pt>
                <c:pt idx="292">
                  <c:v>32.165768259830543</c:v>
                </c:pt>
                <c:pt idx="293">
                  <c:v>32.384573239680954</c:v>
                </c:pt>
                <c:pt idx="294">
                  <c:v>32.603977727192792</c:v>
                </c:pt>
                <c:pt idx="295">
                  <c:v>32.823980049296672</c:v>
                </c:pt>
                <c:pt idx="296">
                  <c:v>33.04457853055893</c:v>
                </c:pt>
                <c:pt idx="297">
                  <c:v>33.265771493217152</c:v>
                </c:pt>
                <c:pt idx="298">
                  <c:v>33.487557257215542</c:v>
                </c:pt>
                <c:pt idx="299">
                  <c:v>33.709934140240073</c:v>
                </c:pt>
                <c:pt idx="300">
                  <c:v>33.932900457753469</c:v>
                </c:pt>
                <c:pt idx="301">
                  <c:v>34.156454523030014</c:v>
                </c:pt>
                <c:pt idx="302">
                  <c:v>34.380594647190151</c:v>
                </c:pt>
                <c:pt idx="303">
                  <c:v>34.605319139234943</c:v>
                </c:pt>
                <c:pt idx="304">
                  <c:v>34.830626306080283</c:v>
                </c:pt>
                <c:pt idx="305">
                  <c:v>35.056514452590996</c:v>
                </c:pt>
                <c:pt idx="306">
                  <c:v>35.282981881614703</c:v>
                </c:pt>
                <c:pt idx="307">
                  <c:v>35.510026894015525</c:v>
                </c:pt>
                <c:pt idx="308">
                  <c:v>35.737647788707605</c:v>
                </c:pt>
                <c:pt idx="309">
                  <c:v>35.965842862688447</c:v>
                </c:pt>
                <c:pt idx="310">
                  <c:v>36.194610411072077</c:v>
                </c:pt>
                <c:pt idx="311">
                  <c:v>36.423948727122003</c:v>
                </c:pt>
                <c:pt idx="312">
                  <c:v>36.653856102284031</c:v>
                </c:pt>
                <c:pt idx="313">
                  <c:v>36.884330826218857</c:v>
                </c:pt>
                <c:pt idx="314">
                  <c:v>37.115371186834508</c:v>
                </c:pt>
                <c:pt idx="315">
                  <c:v>37.346975470318597</c:v>
                </c:pt>
                <c:pt idx="316">
                  <c:v>37.579141961170393</c:v>
                </c:pt>
                <c:pt idx="317">
                  <c:v>37.811868942232707</c:v>
                </c:pt>
                <c:pt idx="318">
                  <c:v>38.045154694723614</c:v>
                </c:pt>
                <c:pt idx="319">
                  <c:v>38.278997498267969</c:v>
                </c:pt>
                <c:pt idx="320">
                  <c:v>38.513395630928777</c:v>
                </c:pt>
                <c:pt idx="321">
                  <c:v>38.748347369238353</c:v>
                </c:pt>
                <c:pt idx="322">
                  <c:v>38.983850988229321</c:v>
                </c:pt>
                <c:pt idx="323">
                  <c:v>39.219904761465429</c:v>
                </c:pt>
                <c:pt idx="324">
                  <c:v>39.456506961072193</c:v>
                </c:pt>
                <c:pt idx="325">
                  <c:v>39.69365585776734</c:v>
                </c:pt>
                <c:pt idx="326">
                  <c:v>39.931349732380681</c:v>
                </c:pt>
                <c:pt idx="327">
                  <c:v>40.169586887383474</c:v>
                </c:pt>
                <c:pt idx="328">
                  <c:v>40.40836563542927</c:v>
                </c:pt>
                <c:pt idx="329">
                  <c:v>40.647684287884623</c:v>
                </c:pt>
                <c:pt idx="330">
                  <c:v>40.887541154857914</c:v>
                </c:pt>
                <c:pt idx="331">
                  <c:v>41.127934545228015</c:v>
                </c:pt>
                <c:pt idx="332">
                  <c:v>41.368862766672763</c:v>
                </c:pt>
                <c:pt idx="333">
                  <c:v>41.610324125697289</c:v>
                </c:pt>
                <c:pt idx="334">
                  <c:v>41.852316927662166</c:v>
                </c:pt>
                <c:pt idx="335">
                  <c:v>42.094839476811387</c:v>
                </c:pt>
                <c:pt idx="336">
                  <c:v>42.337890076300177</c:v>
                </c:pt>
                <c:pt idx="337">
                  <c:v>42.581467028222626</c:v>
                </c:pt>
                <c:pt idx="338">
                  <c:v>42.825568633639179</c:v>
                </c:pt>
                <c:pt idx="339">
                  <c:v>43.070193192603924</c:v>
                </c:pt>
                <c:pt idx="340">
                  <c:v>43.315339004191742</c:v>
                </c:pt>
                <c:pt idx="341">
                  <c:v>43.56100436652526</c:v>
                </c:pt>
                <c:pt idx="342">
                  <c:v>43.807187576801674</c:v>
                </c:pt>
                <c:pt idx="343">
                  <c:v>44.053886931319362</c:v>
                </c:pt>
                <c:pt idx="344">
                  <c:v>44.301100725504348</c:v>
                </c:pt>
                <c:pt idx="345">
                  <c:v>44.548827253936622</c:v>
                </c:pt>
                <c:pt idx="346">
                  <c:v>44.797064810376256</c:v>
                </c:pt>
                <c:pt idx="347">
                  <c:v>45.04581168778936</c:v>
                </c:pt>
                <c:pt idx="348">
                  <c:v>45.295066178373908</c:v>
                </c:pt>
                <c:pt idx="349">
                  <c:v>45.54482657358534</c:v>
                </c:pt>
                <c:pt idx="350">
                  <c:v>45.795091164162045</c:v>
                </c:pt>
                <c:pt idx="351">
                  <c:v>46.045858240150658</c:v>
                </c:pt>
                <c:pt idx="352">
                  <c:v>46.297126090931194</c:v>
                </c:pt>
                <c:pt idx="353">
                  <c:v>46.548893005242014</c:v>
                </c:pt>
                <c:pt idx="354">
                  <c:v>46.801157271204637</c:v>
                </c:pt>
                <c:pt idx="355">
                  <c:v>47.053917176348371</c:v>
                </c:pt>
                <c:pt idx="356">
                  <c:v>47.307171007634793</c:v>
                </c:pt>
                <c:pt idx="357">
                  <c:v>47.560917051482058</c:v>
                </c:pt>
                <c:pt idx="358">
                  <c:v>47.815153593789042</c:v>
                </c:pt>
                <c:pt idx="359">
                  <c:v>48.069878919959322</c:v>
                </c:pt>
                <c:pt idx="360">
                  <c:v>48.325091314925011</c:v>
                </c:pt>
                <c:pt idx="361">
                  <c:v>48.580789063170393</c:v>
                </c:pt>
                <c:pt idx="362">
                  <c:v>48.836970448755437</c:v>
                </c:pt>
                <c:pt idx="363">
                  <c:v>49.093633755339098</c:v>
                </c:pt>
                <c:pt idx="364">
                  <c:v>49.350777266202513</c:v>
                </c:pt>
                <c:pt idx="365">
                  <c:v>49.608399264271988</c:v>
                </c:pt>
                <c:pt idx="366">
                  <c:v>49.866498328991575</c:v>
                </c:pt>
                <c:pt idx="367">
                  <c:v>50.125073633353921</c:v>
                </c:pt>
                <c:pt idx="368">
                  <c:v>50.384124646937003</c:v>
                </c:pt>
                <c:pt idx="369">
                  <c:v>50.64365083877528</c:v>
                </c:pt>
                <c:pt idx="370">
                  <c:v>50.903651677368067</c:v>
                </c:pt>
                <c:pt idx="371">
                  <c:v>51.164126630687903</c:v>
                </c:pt>
                <c:pt idx="372">
                  <c:v>51.425075166188833</c:v>
                </c:pt>
                <c:pt idx="373">
                  <c:v>51.686496750814733</c:v>
                </c:pt>
                <c:pt idx="374">
                  <c:v>51.948390851007531</c:v>
                </c:pt>
                <c:pt idx="375">
                  <c:v>52.210756932715441</c:v>
                </c:pt>
                <c:pt idx="376">
                  <c:v>52.47359446140117</c:v>
                </c:pt>
                <c:pt idx="377">
                  <c:v>52.736902902050055</c:v>
                </c:pt>
                <c:pt idx="378">
                  <c:v>53.00068171917821</c:v>
                </c:pt>
                <c:pt idx="379">
                  <c:v>53.264930376840624</c:v>
                </c:pt>
                <c:pt idx="380">
                  <c:v>53.52964833863922</c:v>
                </c:pt>
                <c:pt idx="381">
                  <c:v>53.794834745145288</c:v>
                </c:pt>
                <c:pt idx="382">
                  <c:v>54.060488091173838</c:v>
                </c:pt>
                <c:pt idx="383">
                  <c:v>54.32660654856722</c:v>
                </c:pt>
                <c:pt idx="384">
                  <c:v>54.593188289133984</c:v>
                </c:pt>
                <c:pt idx="385">
                  <c:v>54.860231484671274</c:v>
                </c:pt>
                <c:pt idx="386">
                  <c:v>55.127734306987044</c:v>
                </c:pt>
                <c:pt idx="387">
                  <c:v>55.395694927922108</c:v>
                </c:pt>
                <c:pt idx="388">
                  <c:v>55.664111519372</c:v>
                </c:pt>
                <c:pt idx="389">
                  <c:v>55.932982253308694</c:v>
                </c:pt>
                <c:pt idx="390">
                  <c:v>56.202305301802106</c:v>
                </c:pt>
                <c:pt idx="391">
                  <c:v>56.472078837041451</c:v>
                </c:pt>
                <c:pt idx="392">
                  <c:v>56.74230103135644</c:v>
                </c:pt>
                <c:pt idx="393">
                  <c:v>57.01297005723827</c:v>
                </c:pt>
                <c:pt idx="394">
                  <c:v>57.284084087360469</c:v>
                </c:pt>
                <c:pt idx="395">
                  <c:v>57.555641294599567</c:v>
                </c:pt>
                <c:pt idx="396">
                  <c:v>57.82763985205559</c:v>
                </c:pt>
                <c:pt idx="397">
                  <c:v>58.100077933072384</c:v>
                </c:pt>
                <c:pt idx="398">
                  <c:v>58.372953711257786</c:v>
                </c:pt>
                <c:pt idx="399">
                  <c:v>58.646265360503591</c:v>
                </c:pt>
                <c:pt idx="400">
                  <c:v>58.920011055005389</c:v>
                </c:pt>
                <c:pt idx="401">
                  <c:v>59.194188713833249</c:v>
                </c:pt>
                <c:pt idx="402">
                  <c:v>59.468795745420344</c:v>
                </c:pt>
                <c:pt idx="403">
                  <c:v>59.743829303241128</c:v>
                </c:pt>
                <c:pt idx="404">
                  <c:v>60.019286541577678</c:v>
                </c:pt>
                <c:pt idx="405">
                  <c:v>60.295164615551393</c:v>
                </c:pt>
                <c:pt idx="406">
                  <c:v>60.571460681154363</c:v>
                </c:pt>
                <c:pt idx="407">
                  <c:v>60.848171895280402</c:v>
                </c:pt>
                <c:pt idx="408">
                  <c:v>61.12529541575573</c:v>
                </c:pt>
                <c:pt idx="409">
                  <c:v>61.402828401369305</c:v>
                </c:pt>
                <c:pt idx="410">
                  <c:v>61.680768011902835</c:v>
                </c:pt>
                <c:pt idx="411">
                  <c:v>61.959109992163754</c:v>
                </c:pt>
                <c:pt idx="412">
                  <c:v>62.237847255692735</c:v>
                </c:pt>
                <c:pt idx="413">
                  <c:v>62.516971302174923</c:v>
                </c:pt>
                <c:pt idx="414">
                  <c:v>62.796473635230917</c:v>
                </c:pt>
                <c:pt idx="415">
                  <c:v>63.076345762553871</c:v>
                </c:pt>
                <c:pt idx="416">
                  <c:v>63.356579196044102</c:v>
                </c:pt>
                <c:pt idx="417">
                  <c:v>63.637165451941286</c:v>
                </c:pt>
                <c:pt idx="418">
                  <c:v>63.918096050954205</c:v>
                </c:pt>
                <c:pt idx="419">
                  <c:v>64.199362518388028</c:v>
                </c:pt>
                <c:pt idx="420">
                  <c:v>64.480955576486551</c:v>
                </c:pt>
                <c:pt idx="421">
                  <c:v>64.762864336718394</c:v>
                </c:pt>
                <c:pt idx="422">
                  <c:v>65.045077108683728</c:v>
                </c:pt>
                <c:pt idx="423">
                  <c:v>65.327582209116201</c:v>
                </c:pt>
                <c:pt idx="424">
                  <c:v>65.610367962085633</c:v>
                </c:pt>
                <c:pt idx="425">
                  <c:v>65.893422699196179</c:v>
                </c:pt>
                <c:pt idx="426">
                  <c:v>66.176734759780132</c:v>
                </c:pt>
                <c:pt idx="427">
                  <c:v>66.460292491087301</c:v>
                </c:pt>
                <c:pt idx="428">
                  <c:v>66.74408424846996</c:v>
                </c:pt>
                <c:pt idx="429">
                  <c:v>67.028098395563489</c:v>
                </c:pt>
                <c:pt idx="430">
                  <c:v>67.312323304462552</c:v>
                </c:pt>
                <c:pt idx="431">
                  <c:v>67.596747355893044</c:v>
                </c:pt>
                <c:pt idx="432">
                  <c:v>67.881357632652509</c:v>
                </c:pt>
                <c:pt idx="433">
                  <c:v>68.16613861329644</c:v>
                </c:pt>
                <c:pt idx="434">
                  <c:v>68.451073481170056</c:v>
                </c:pt>
                <c:pt idx="435">
                  <c:v>68.73614543327146</c:v>
                </c:pt>
                <c:pt idx="436">
                  <c:v>69.021337680570781</c:v>
                </c:pt>
                <c:pt idx="437">
                  <c:v>69.306633448320468</c:v>
                </c:pt>
                <c:pt idx="438">
                  <c:v>69.59201597635672</c:v>
                </c:pt>
                <c:pt idx="439">
                  <c:v>69.877468519392039</c:v>
                </c:pt>
                <c:pt idx="440">
                  <c:v>70.162974347298999</c:v>
                </c:pt>
                <c:pt idx="441">
                  <c:v>70.448516745385206</c:v>
                </c:pt>
                <c:pt idx="442">
                  <c:v>70.734079810999447</c:v>
                </c:pt>
                <c:pt idx="443">
                  <c:v>71.019649249761841</c:v>
                </c:pt>
                <c:pt idx="444">
                  <c:v>71.305211577847288</c:v>
                </c:pt>
                <c:pt idx="445">
                  <c:v>71.590753324580234</c:v>
                </c:pt>
                <c:pt idx="446">
                  <c:v>71.87626103257297</c:v>
                </c:pt>
                <c:pt idx="447">
                  <c:v>72.161721257858332</c:v>
                </c:pt>
                <c:pt idx="448">
                  <c:v>72.447120570016949</c:v>
                </c:pt>
                <c:pt idx="449">
                  <c:v>72.732445552298856</c:v>
                </c:pt>
                <c:pt idx="450">
                  <c:v>73.017682801739639</c:v>
                </c:pt>
                <c:pt idx="451">
                  <c:v>73.302818929271126</c:v>
                </c:pt>
                <c:pt idx="452">
                  <c:v>73.587840559826589</c:v>
                </c:pt>
                <c:pt idx="453">
                  <c:v>73.872735477379067</c:v>
                </c:pt>
                <c:pt idx="454">
                  <c:v>74.157493769216515</c:v>
                </c:pt>
                <c:pt idx="455">
                  <c:v>74.442106678442912</c:v>
                </c:pt>
                <c:pt idx="456">
                  <c:v>74.726565457195008</c:v>
                </c:pt>
                <c:pt idx="457">
                  <c:v>75.010861366648726</c:v>
                </c:pt>
                <c:pt idx="458">
                  <c:v>75.294985677023377</c:v>
                </c:pt>
                <c:pt idx="459">
                  <c:v>75.578929667583679</c:v>
                </c:pt>
                <c:pt idx="460">
                  <c:v>75.862684626639592</c:v>
                </c:pt>
                <c:pt idx="461">
                  <c:v>76.146242885119548</c:v>
                </c:pt>
                <c:pt idx="462">
                  <c:v>76.42959884938432</c:v>
                </c:pt>
                <c:pt idx="463">
                  <c:v>76.712747965170976</c:v>
                </c:pt>
                <c:pt idx="464">
                  <c:v>76.995685682284062</c:v>
                </c:pt>
                <c:pt idx="465">
                  <c:v>77.278407454569745</c:v>
                </c:pt>
                <c:pt idx="466">
                  <c:v>77.560907869841543</c:v>
                </c:pt>
                <c:pt idx="467">
                  <c:v>77.843179780457845</c:v>
                </c:pt>
                <c:pt idx="468">
                  <c:v>78.125205478323338</c:v>
                </c:pt>
                <c:pt idx="469">
                  <c:v>78.40695974904483</c:v>
                </c:pt>
                <c:pt idx="470">
                  <c:v>78.688431455380936</c:v>
                </c:pt>
                <c:pt idx="471">
                  <c:v>78.969621349065264</c:v>
                </c:pt>
                <c:pt idx="472">
                  <c:v>79.250530178980242</c:v>
                </c:pt>
                <c:pt idx="473">
                  <c:v>79.531158691171882</c:v>
                </c:pt>
                <c:pt idx="474">
                  <c:v>79.811507628864376</c:v>
                </c:pt>
                <c:pt idx="475">
                  <c:v>80.091577732474704</c:v>
                </c:pt>
                <c:pt idx="476">
                  <c:v>80.371369739627028</c:v>
                </c:pt>
                <c:pt idx="477">
                  <c:v>80.650884385167075</c:v>
                </c:pt>
                <c:pt idx="478">
                  <c:v>80.930122401176419</c:v>
                </c:pt>
                <c:pt idx="479">
                  <c:v>81.209084516986636</c:v>
                </c:pt>
                <c:pt idx="480">
                  <c:v>81.487771459193382</c:v>
                </c:pt>
                <c:pt idx="481">
                  <c:v>81.766183951670399</c:v>
                </c:pt>
                <c:pt idx="482">
                  <c:v>82.044322715583405</c:v>
                </c:pt>
                <c:pt idx="483">
                  <c:v>82.322188469403926</c:v>
                </c:pt>
                <c:pt idx="484">
                  <c:v>82.599781928923022</c:v>
                </c:pt>
                <c:pt idx="485">
                  <c:v>82.877103807264874</c:v>
                </c:pt>
                <c:pt idx="486">
                  <c:v>83.154154814900423</c:v>
                </c:pt>
                <c:pt idx="487">
                  <c:v>83.430935659660747</c:v>
                </c:pt>
                <c:pt idx="488">
                  <c:v>83.707447046750517</c:v>
                </c:pt>
                <c:pt idx="489">
                  <c:v>83.983689678761223</c:v>
                </c:pt>
                <c:pt idx="490">
                  <c:v>84.259664255684413</c:v>
                </c:pt>
                <c:pt idx="491">
                  <c:v>84.535371474924844</c:v>
                </c:pt>
                <c:pt idx="492">
                  <c:v>84.810812031313489</c:v>
                </c:pt>
                <c:pt idx="493">
                  <c:v>85.085986617120511</c:v>
                </c:pt>
                <c:pt idx="494">
                  <c:v>85.360895922068124</c:v>
                </c:pt>
                <c:pt idx="495">
                  <c:v>85.635540633343425</c:v>
                </c:pt>
                <c:pt idx="496">
                  <c:v>85.909921435611096</c:v>
                </c:pt>
                <c:pt idx="497">
                  <c:v>86.184039011026016</c:v>
                </c:pt>
                <c:pt idx="498">
                  <c:v>86.457894039245843</c:v>
                </c:pt>
                <c:pt idx="499">
                  <c:v>86.731487197443514</c:v>
                </c:pt>
                <c:pt idx="500">
                  <c:v>87.004819160319585</c:v>
                </c:pt>
                <c:pt idx="501">
                  <c:v>89.723825117429314</c:v>
                </c:pt>
                <c:pt idx="502">
                  <c:v>92.417144252593999</c:v>
                </c:pt>
                <c:pt idx="503">
                  <c:v>95.085428563625968</c:v>
                </c:pt>
                <c:pt idx="504">
                  <c:v>97.72930687694911</c:v>
                </c:pt>
                <c:pt idx="505">
                  <c:v>100.34938596284547</c:v>
                </c:pt>
                <c:pt idx="506">
                  <c:v>102.94625158406986</c:v>
                </c:pt>
                <c:pt idx="507">
                  <c:v>105.52046948258349</c:v>
                </c:pt>
                <c:pt idx="508">
                  <c:v>108.07258630876571</c:v>
                </c:pt>
                <c:pt idx="509">
                  <c:v>110.60313049710687</c:v>
                </c:pt>
                <c:pt idx="510">
                  <c:v>113.11261309206334</c:v>
                </c:pt>
                <c:pt idx="511">
                  <c:v>115.60152852746165</c:v>
                </c:pt>
                <c:pt idx="512">
                  <c:v>118.07035536257307</c:v>
                </c:pt>
                <c:pt idx="513">
                  <c:v>120.51955697773597</c:v>
                </c:pt>
                <c:pt idx="514">
                  <c:v>122.94958223218272</c:v>
                </c:pt>
                <c:pt idx="515">
                  <c:v>125.36086608652509</c:v>
                </c:pt>
                <c:pt idx="516">
                  <c:v>127.75383019216797</c:v>
                </c:pt>
                <c:pt idx="517">
                  <c:v>130.12888344975184</c:v>
                </c:pt>
                <c:pt idx="518">
                  <c:v>132.48642253857008</c:v>
                </c:pt>
                <c:pt idx="519">
                  <c:v>134.82683241876538</c:v>
                </c:pt>
                <c:pt idx="520">
                  <c:v>137.15048680797921</c:v>
                </c:pt>
                <c:pt idx="521">
                  <c:v>139.45774863400962</c:v>
                </c:pt>
                <c:pt idx="522">
                  <c:v>141.74897046492197</c:v>
                </c:pt>
                <c:pt idx="523">
                  <c:v>144.02449491795701</c:v>
                </c:pt>
                <c:pt idx="524">
                  <c:v>146.28465504848745</c:v>
                </c:pt>
                <c:pt idx="525">
                  <c:v>148.52977472018856</c:v>
                </c:pt>
                <c:pt idx="526">
                  <c:v>150.76016895750928</c:v>
                </c:pt>
                <c:pt idx="527">
                  <c:v>152.97614428145769</c:v>
                </c:pt>
                <c:pt idx="528">
                  <c:v>155.17799902964697</c:v>
                </c:pt>
                <c:pt idx="529">
                  <c:v>157.36602366148577</c:v>
                </c:pt>
                <c:pt idx="530">
                  <c:v>159.54050104933967</c:v>
                </c:pt>
                <c:pt idx="531">
                  <c:v>161.70170675643649</c:v>
                </c:pt>
                <c:pt idx="532">
                  <c:v>163.84990930223904</c:v>
                </c:pt>
                <c:pt idx="533">
                  <c:v>165.9853704159633</c:v>
                </c:pt>
                <c:pt idx="534">
                  <c:v>168.10834527887678</c:v>
                </c:pt>
                <c:pt idx="535">
                  <c:v>170.21908275597295</c:v>
                </c:pt>
                <c:pt idx="536">
                  <c:v>172.31782561758064</c:v>
                </c:pt>
                <c:pt idx="537">
                  <c:v>174.40481075143305</c:v>
                </c:pt>
                <c:pt idx="538">
                  <c:v>176.48026936568925</c:v>
                </c:pt>
                <c:pt idx="539">
                  <c:v>178.54442718337174</c:v>
                </c:pt>
                <c:pt idx="540">
                  <c:v>180.59750462865546</c:v>
                </c:pt>
                <c:pt idx="541">
                  <c:v>182.63971700541865</c:v>
                </c:pt>
                <c:pt idx="542">
                  <c:v>184.67127466844124</c:v>
                </c:pt>
                <c:pt idx="543">
                  <c:v>186.6923831876145</c:v>
                </c:pt>
                <c:pt idx="544">
                  <c:v>188.70324350550462</c:v>
                </c:pt>
                <c:pt idx="545">
                  <c:v>190.70405208859322</c:v>
                </c:pt>
                <c:pt idx="546">
                  <c:v>192.69500107249959</c:v>
                </c:pt>
                <c:pt idx="547">
                  <c:v>194.67627840147227</c:v>
                </c:pt>
                <c:pt idx="548">
                  <c:v>196.64806796242161</c:v>
                </c:pt>
                <c:pt idx="549">
                  <c:v>198.61054971374966</c:v>
                </c:pt>
                <c:pt idx="550">
                  <c:v>200.56389980922017</c:v>
                </c:pt>
                <c:pt idx="551">
                  <c:v>202.50829071709751</c:v>
                </c:pt>
                <c:pt idx="552">
                  <c:v>204.44389133477151</c:v>
                </c:pt>
                <c:pt idx="553">
                  <c:v>206.37086709907348</c:v>
                </c:pt>
                <c:pt idx="554">
                  <c:v>208.28938009247727</c:v>
                </c:pt>
                <c:pt idx="555">
                  <c:v>210.1995891453694</c:v>
                </c:pt>
                <c:pt idx="556">
                  <c:v>212.10164993456252</c:v>
                </c:pt>
                <c:pt idx="557">
                  <c:v>213.99571507821693</c:v>
                </c:pt>
                <c:pt idx="558">
                  <c:v>215.88193422732706</c:v>
                </c:pt>
                <c:pt idx="559">
                  <c:v>217.76045415392073</c:v>
                </c:pt>
                <c:pt idx="560">
                  <c:v>219.63141883611215</c:v>
                </c:pt>
                <c:pt idx="561">
                  <c:v>221.49496954014219</c:v>
                </c:pt>
                <c:pt idx="562">
                  <c:v>223.35124489953233</c:v>
                </c:pt>
                <c:pt idx="563">
                  <c:v>225.20038099147266</c:v>
                </c:pt>
                <c:pt idx="564">
                  <c:v>227.04251141055803</c:v>
                </c:pt>
                <c:pt idx="565">
                  <c:v>228.87776733998064</c:v>
                </c:pt>
                <c:pt idx="566">
                  <c:v>230.70627762028187</c:v>
                </c:pt>
                <c:pt idx="567">
                  <c:v>232.5281688157614</c:v>
                </c:pt>
                <c:pt idx="568">
                  <c:v>234.34356527863588</c:v>
                </c:pt>
                <c:pt idx="569">
                  <c:v>236.15258921103575</c:v>
                </c:pt>
                <c:pt idx="570">
                  <c:v>237.95536072492354</c:v>
                </c:pt>
                <c:pt idx="571">
                  <c:v>239.75199790001332</c:v>
                </c:pt>
                <c:pt idx="572">
                  <c:v>241.54261683976662</c:v>
                </c:pt>
                <c:pt idx="573">
                  <c:v>243.32733172553634</c:v>
                </c:pt>
                <c:pt idx="574">
                  <c:v>245.1062548689267</c:v>
                </c:pt>
                <c:pt idx="575">
                  <c:v>246.87949676243343</c:v>
                </c:pt>
                <c:pt idx="576">
                  <c:v>248.64716612842534</c:v>
                </c:pt>
                <c:pt idx="577">
                  <c:v>250.40936996652493</c:v>
                </c:pt>
                <c:pt idx="578">
                  <c:v>252.16621359944267</c:v>
                </c:pt>
                <c:pt idx="579">
                  <c:v>253.9178007173166</c:v>
                </c:pt>
                <c:pt idx="580">
                  <c:v>255.66423342060591</c:v>
                </c:pt>
                <c:pt idx="581">
                  <c:v>257.40561226158428</c:v>
                </c:pt>
                <c:pt idx="582">
                  <c:v>259.14203628447626</c:v>
                </c:pt>
                <c:pt idx="583">
                  <c:v>260.87360306427661</c:v>
                </c:pt>
                <c:pt idx="584">
                  <c:v>262.60040874429092</c:v>
                </c:pt>
                <c:pt idx="585">
                  <c:v>264.3225480724322</c:v>
                </c:pt>
                <c:pt idx="586">
                  <c:v>266.04011443630588</c:v>
                </c:pt>
                <c:pt idx="587">
                  <c:v>267.75319989711357</c:v>
                </c:pt>
                <c:pt idx="588">
                  <c:v>269.46189522240252</c:v>
                </c:pt>
                <c:pt idx="589">
                  <c:v>271.16628991768562</c:v>
                </c:pt>
                <c:pt idx="590">
                  <c:v>272.86647225695435</c:v>
                </c:pt>
                <c:pt idx="591">
                  <c:v>274.56252931210372</c:v>
                </c:pt>
                <c:pt idx="592">
                  <c:v>276.25454698128613</c:v>
                </c:pt>
                <c:pt idx="593">
                  <c:v>277.94261001620833</c:v>
                </c:pt>
                <c:pt idx="594">
                  <c:v>279.62680204838176</c:v>
                </c:pt>
                <c:pt idx="595">
                  <c:v>281.30720561433486</c:v>
                </c:pt>
                <c:pt idx="596">
                  <c:v>282.98390217979176</c:v>
                </c:pt>
                <c:pt idx="597">
                  <c:v>284.65697216281882</c:v>
                </c:pt>
                <c:pt idx="598">
                  <c:v>286.32649495593637</c:v>
                </c:pt>
                <c:pt idx="599">
                  <c:v>287.99254894719019</c:v>
                </c:pt>
                <c:pt idx="600">
                  <c:v>289.65521154017165</c:v>
                </c:pt>
                <c:pt idx="601">
                  <c:v>291.31455917297228</c:v>
                </c:pt>
                <c:pt idx="602">
                  <c:v>292.97066733605294</c:v>
                </c:pt>
                <c:pt idx="603">
                  <c:v>294.62361058900251</c:v>
                </c:pt>
                <c:pt idx="604">
                  <c:v>296.27346257615534</c:v>
                </c:pt>
                <c:pt idx="605">
                  <c:v>297.92029604103016</c:v>
                </c:pt>
                <c:pt idx="606">
                  <c:v>299.56418283954599</c:v>
                </c:pt>
                <c:pt idx="607">
                  <c:v>301.205193951963</c:v>
                </c:pt>
                <c:pt idx="608">
                  <c:v>302.84339949348691</c:v>
                </c:pt>
                <c:pt idx="609">
                  <c:v>304.47886872346635</c:v>
                </c:pt>
                <c:pt idx="610">
                  <c:v>306.11167005310153</c:v>
                </c:pt>
                <c:pt idx="611">
                  <c:v>307.74187105157012</c:v>
                </c:pt>
                <c:pt idx="612">
                  <c:v>309.36953845046247</c:v>
                </c:pt>
                <c:pt idx="613">
                  <c:v>310.99473814640373</c:v>
                </c:pt>
                <c:pt idx="614">
                  <c:v>312.61753520172221</c:v>
                </c:pt>
                <c:pt idx="615">
                  <c:v>314.23799384300395</c:v>
                </c:pt>
                <c:pt idx="616">
                  <c:v>315.85617745735289</c:v>
                </c:pt>
                <c:pt idx="617">
                  <c:v>317.47214858614979</c:v>
                </c:pt>
                <c:pt idx="618">
                  <c:v>319.08596891607715</c:v>
                </c:pt>
                <c:pt idx="619">
                  <c:v>320.69769926714565</c:v>
                </c:pt>
                <c:pt idx="620">
                  <c:v>322.30739957742412</c:v>
                </c:pt>
                <c:pt idx="621">
                  <c:v>323.91512888413683</c:v>
                </c:pt>
                <c:pt idx="622">
                  <c:v>325.52094530074999</c:v>
                </c:pt>
                <c:pt idx="623">
                  <c:v>327.1249059896237</c:v>
                </c:pt>
                <c:pt idx="624">
                  <c:v>328.72706712975611</c:v>
                </c:pt>
                <c:pt idx="625">
                  <c:v>330.3274838790939</c:v>
                </c:pt>
                <c:pt idx="626">
                  <c:v>331.92621033082804</c:v>
                </c:pt>
                <c:pt idx="627">
                  <c:v>333.52329946303837</c:v>
                </c:pt>
                <c:pt idx="628">
                  <c:v>335.11880308099688</c:v>
                </c:pt>
                <c:pt idx="629">
                  <c:v>336.71277175139221</c:v>
                </c:pt>
                <c:pt idx="630">
                  <c:v>338.30525472769966</c:v>
                </c:pt>
                <c:pt idx="631">
                  <c:v>339.89629986590546</c:v>
                </c:pt>
                <c:pt idx="632">
                  <c:v>341.4859535298026</c:v>
                </c:pt>
                <c:pt idx="633">
                  <c:v>343.07426048513088</c:v>
                </c:pt>
                <c:pt idx="634">
                  <c:v>344.66126378194502</c:v>
                </c:pt>
                <c:pt idx="635">
                  <c:v>346.24700462478734</c:v>
                </c:pt>
                <c:pt idx="636">
                  <c:v>347.83152223053497</c:v>
                </c:pt>
                <c:pt idx="637">
                  <c:v>349.41485367421296</c:v>
                </c:pt>
                <c:pt idx="638">
                  <c:v>350.99703372363155</c:v>
                </c:pt>
                <c:pt idx="639">
                  <c:v>352.57809466443666</c:v>
                </c:pt>
                <c:pt idx="640">
                  <c:v>354.15806611804953</c:v>
                </c:pt>
                <c:pt idx="641">
                  <c:v>355.73697485599149</c:v>
                </c:pt>
                <c:pt idx="642">
                  <c:v>357.31484461517903</c:v>
                </c:pt>
                <c:pt idx="643">
                  <c:v>358.89169591982784</c:v>
                </c:pt>
                <c:pt idx="644">
                  <c:v>360.4675459164834</c:v>
                </c:pt>
                <c:pt idx="645">
                  <c:v>362.04240822922424</c:v>
                </c:pt>
                <c:pt idx="646">
                  <c:v>363.61629284210136</c:v>
                </c:pt>
                <c:pt idx="647">
                  <c:v>365.18920601525173</c:v>
                </c:pt>
                <c:pt idx="648">
                  <c:v>366.76115023982084</c:v>
                </c:pt>
                <c:pt idx="649">
                  <c:v>368.33212423492182</c:v>
                </c:pt>
                <c:pt idx="650">
                  <c:v>369.90212298754705</c:v>
                </c:pt>
                <c:pt idx="651">
                  <c:v>371.47113783391399</c:v>
                </c:pt>
                <c:pt idx="652">
                  <c:v>373.03915657848501</c:v>
                </c:pt>
                <c:pt idx="653">
                  <c:v>374.60616364511975</c:v>
                </c:pt>
                <c:pt idx="654">
                  <c:v>376.1721402536707</c:v>
                </c:pt>
                <c:pt idx="655">
                  <c:v>377.73706461486853</c:v>
                </c:pt>
                <c:pt idx="656">
                  <c:v>379.3009121364999</c:v>
                </c:pt>
                <c:pt idx="657">
                  <c:v>380.86365563451795</c:v>
                </c:pt>
                <c:pt idx="658">
                  <c:v>382.42526554367089</c:v>
                </c:pt>
                <c:pt idx="659">
                  <c:v>383.98571012332189</c:v>
                </c:pt>
                <c:pt idx="660">
                  <c:v>385.54495565522416</c:v>
                </c:pt>
                <c:pt idx="661">
                  <c:v>387.10296663101951</c:v>
                </c:pt>
                <c:pt idx="662">
                  <c:v>388.65970592808696</c:v>
                </c:pt>
                <c:pt idx="663">
                  <c:v>390.21513497306427</c:v>
                </c:pt>
                <c:pt idx="664">
                  <c:v>391.76921389289919</c:v>
                </c:pt>
                <c:pt idx="665">
                  <c:v>393.32190165367672</c:v>
                </c:pt>
                <c:pt idx="666">
                  <c:v>394.87315618773545</c:v>
                </c:pt>
                <c:pt idx="667">
                  <c:v>396.42293450975518</c:v>
                </c:pt>
                <c:pt idx="668">
                  <c:v>397.97119282259303</c:v>
                </c:pt>
                <c:pt idx="669">
                  <c:v>399.51788661368317</c:v>
                </c:pt>
                <c:pt idx="670">
                  <c:v>401.06297074281815</c:v>
                </c:pt>
                <c:pt idx="671">
                  <c:v>402.60639952210084</c:v>
                </c:pt>
                <c:pt idx="672">
                  <c:v>404.14812678881691</c:v>
                </c:pt>
                <c:pt idx="673">
                  <c:v>405.68810597192379</c:v>
                </c:pt>
                <c:pt idx="674">
                  <c:v>407.22629015279676</c:v>
                </c:pt>
                <c:pt idx="675">
                  <c:v>408.76263212081579</c:v>
                </c:pt>
                <c:pt idx="676">
                  <c:v>410.29708442432104</c:v>
                </c:pt>
                <c:pt idx="677">
                  <c:v>411.82959941741137</c:v>
                </c:pt>
                <c:pt idx="678">
                  <c:v>413.36012930301155</c:v>
                </c:pt>
                <c:pt idx="679">
                  <c:v>414.88862617258803</c:v>
                </c:pt>
                <c:pt idx="680">
                  <c:v>416.41504204285235</c:v>
                </c:pt>
                <c:pt idx="681">
                  <c:v>417.93932888975337</c:v>
                </c:pt>
                <c:pt idx="682">
                  <c:v>419.46143868002645</c:v>
                </c:pt>
                <c:pt idx="683">
                  <c:v>420.98132340053809</c:v>
                </c:pt>
                <c:pt idx="684">
                  <c:v>422.49893508563764</c:v>
                </c:pt>
                <c:pt idx="685">
                  <c:v>424.01422584270409</c:v>
                </c:pt>
                <c:pt idx="686">
                  <c:v>425.52714787605549</c:v>
                </c:pt>
                <c:pt idx="687">
                  <c:v>427.03765350936931</c:v>
                </c:pt>
                <c:pt idx="688">
                  <c:v>428.54569520674642</c:v>
                </c:pt>
                <c:pt idx="689">
                  <c:v>430.05122559253664</c:v>
                </c:pt>
                <c:pt idx="690">
                  <c:v>431.55419747003043</c:v>
                </c:pt>
                <c:pt idx="691">
                  <c:v>433.05456383911121</c:v>
                </c:pt>
                <c:pt idx="692">
                  <c:v>434.55227791295135</c:v>
                </c:pt>
                <c:pt idx="693">
                  <c:v>436.04729313382728</c:v>
                </c:pt>
                <c:pt idx="694">
                  <c:v>437.53956318812021</c:v>
                </c:pt>
                <c:pt idx="695">
                  <c:v>439.02904202056317</c:v>
                </c:pt>
                <c:pt idx="696">
                  <c:v>440.51568384778778</c:v>
                </c:pt>
                <c:pt idx="697">
                  <c:v>441.99944317121924</c:v>
                </c:pt>
                <c:pt idx="698">
                  <c:v>443.48027478936336</c:v>
                </c:pt>
                <c:pt idx="699">
                  <c:v>444.95813380952461</c:v>
                </c:pt>
                <c:pt idx="700">
                  <c:v>446.43297565899076</c:v>
                </c:pt>
                <c:pt idx="701">
                  <c:v>447.90475609571587</c:v>
                </c:pt>
                <c:pt idx="702">
                  <c:v>449.37343121853087</c:v>
                </c:pt>
                <c:pt idx="703">
                  <c:v>450.8389574769073</c:v>
                </c:pt>
                <c:pt idx="704">
                  <c:v>452.30129168029873</c:v>
                </c:pt>
                <c:pt idx="705">
                  <c:v>453.76039100708073</c:v>
                </c:pt>
                <c:pt idx="706">
                  <c:v>455.21621301310921</c:v>
                </c:pt>
                <c:pt idx="707">
                  <c:v>456.66871563991532</c:v>
                </c:pt>
                <c:pt idx="708">
                  <c:v>458.11785722255257</c:v>
                </c:pt>
                <c:pt idx="709">
                  <c:v>459.56359649711152</c:v>
                </c:pt>
                <c:pt idx="710">
                  <c:v>461.00589260791543</c:v>
                </c:pt>
                <c:pt idx="711">
                  <c:v>462.44470511440943</c:v>
                </c:pt>
                <c:pt idx="712">
                  <c:v>463.87999399775487</c:v>
                </c:pt>
                <c:pt idx="713">
                  <c:v>465.31171966713868</c:v>
                </c:pt>
                <c:pt idx="714">
                  <c:v>466.73984296580841</c:v>
                </c:pt>
                <c:pt idx="715">
                  <c:v>468.16432517684137</c:v>
                </c:pt>
                <c:pt idx="716">
                  <c:v>469.58512802865619</c:v>
                </c:pt>
                <c:pt idx="717">
                  <c:v>471.00221370027435</c:v>
                </c:pt>
                <c:pt idx="718">
                  <c:v>472.41554482633973</c:v>
                </c:pt>
                <c:pt idx="719">
                  <c:v>473.82508450190136</c:v>
                </c:pt>
                <c:pt idx="720">
                  <c:v>475.23079628696706</c:v>
                </c:pt>
                <c:pt idx="721">
                  <c:v>476.63264421083284</c:v>
                </c:pt>
                <c:pt idx="722">
                  <c:v>478.03059277619383</c:v>
                </c:pt>
                <c:pt idx="723">
                  <c:v>479.42460696304198</c:v>
                </c:pt>
                <c:pt idx="724">
                  <c:v>480.81465223235512</c:v>
                </c:pt>
                <c:pt idx="725">
                  <c:v>482.20069452958217</c:v>
                </c:pt>
                <c:pt idx="726">
                  <c:v>483.58270028792896</c:v>
                </c:pt>
                <c:pt idx="727">
                  <c:v>484.96063643144811</c:v>
                </c:pt>
                <c:pt idx="728">
                  <c:v>486.33447037793786</c:v>
                </c:pt>
                <c:pt idx="729">
                  <c:v>487.70417004165296</c:v>
                </c:pt>
                <c:pt idx="730">
                  <c:v>489.06970383583121</c:v>
                </c:pt>
                <c:pt idx="731">
                  <c:v>490.43104067503941</c:v>
                </c:pt>
                <c:pt idx="732">
                  <c:v>491.78814997734207</c:v>
                </c:pt>
                <c:pt idx="733">
                  <c:v>493.14100166629555</c:v>
                </c:pt>
                <c:pt idx="734">
                  <c:v>494.48956617277145</c:v>
                </c:pt>
                <c:pt idx="735">
                  <c:v>495.83381443661159</c:v>
                </c:pt>
                <c:pt idx="736">
                  <c:v>497.17371790811825</c:v>
                </c:pt>
                <c:pt idx="737">
                  <c:v>498.50924854938171</c:v>
                </c:pt>
                <c:pt idx="738">
                  <c:v>499.84037883544858</c:v>
                </c:pt>
                <c:pt idx="739">
                  <c:v>501.16708175533313</c:v>
                </c:pt>
                <c:pt idx="740">
                  <c:v>502.4893308128747</c:v>
                </c:pt>
                <c:pt idx="741">
                  <c:v>503.80710002744337</c:v>
                </c:pt>
                <c:pt idx="742">
                  <c:v>505.12036393449716</c:v>
                </c:pt>
                <c:pt idx="743">
                  <c:v>506.42909758599234</c:v>
                </c:pt>
                <c:pt idx="744">
                  <c:v>507.73327655065026</c:v>
                </c:pt>
                <c:pt idx="745">
                  <c:v>509.03287691408275</c:v>
                </c:pt>
                <c:pt idx="746">
                  <c:v>510.32787527877855</c:v>
                </c:pt>
                <c:pt idx="747">
                  <c:v>511.61824876395326</c:v>
                </c:pt>
                <c:pt idx="748">
                  <c:v>512.90397500526512</c:v>
                </c:pt>
                <c:pt idx="749">
                  <c:v>514.18503215439955</c:v>
                </c:pt>
                <c:pt idx="750">
                  <c:v>515.46139887852348</c:v>
                </c:pt>
                <c:pt idx="751">
                  <c:v>516.73305435961367</c:v>
                </c:pt>
                <c:pt idx="752">
                  <c:v>517.99997829365998</c:v>
                </c:pt>
                <c:pt idx="753">
                  <c:v>519.26215088974618</c:v>
                </c:pt>
                <c:pt idx="754">
                  <c:v>520.51955286901114</c:v>
                </c:pt>
                <c:pt idx="755">
                  <c:v>521.77216546349212</c:v>
                </c:pt>
                <c:pt idx="756">
                  <c:v>523.01997041485276</c:v>
                </c:pt>
                <c:pt idx="757">
                  <c:v>524.26294997299829</c:v>
                </c:pt>
                <c:pt idx="758">
                  <c:v>525.5010868945792</c:v>
                </c:pt>
                <c:pt idx="759">
                  <c:v>526.73436444138736</c:v>
                </c:pt>
                <c:pt idx="760">
                  <c:v>527.96276637864503</c:v>
                </c:pt>
                <c:pt idx="761">
                  <c:v>529.1862769731905</c:v>
                </c:pt>
                <c:pt idx="762">
                  <c:v>530.40488099156187</c:v>
                </c:pt>
                <c:pt idx="763">
                  <c:v>531.6185636979809</c:v>
                </c:pt>
                <c:pt idx="764">
                  <c:v>532.82731085224032</c:v>
                </c:pt>
                <c:pt idx="765">
                  <c:v>534.03110870749549</c:v>
                </c:pt>
                <c:pt idx="766">
                  <c:v>535.22994400796404</c:v>
                </c:pt>
                <c:pt idx="767">
                  <c:v>536.42380398653415</c:v>
                </c:pt>
                <c:pt idx="768">
                  <c:v>537.61267636228479</c:v>
                </c:pt>
                <c:pt idx="769">
                  <c:v>538.79654933791994</c:v>
                </c:pt>
                <c:pt idx="770">
                  <c:v>539.97541159711886</c:v>
                </c:pt>
                <c:pt idx="771">
                  <c:v>541.14925230180449</c:v>
                </c:pt>
                <c:pt idx="772">
                  <c:v>542.31806108933222</c:v>
                </c:pt>
                <c:pt idx="773">
                  <c:v>543.48182806960119</c:v>
                </c:pt>
                <c:pt idx="774">
                  <c:v>544.64054382209065</c:v>
                </c:pt>
                <c:pt idx="775">
                  <c:v>545.79419939282297</c:v>
                </c:pt>
                <c:pt idx="776">
                  <c:v>546.94278629125552</c:v>
                </c:pt>
                <c:pt idx="777">
                  <c:v>548.08629648710405</c:v>
                </c:pt>
                <c:pt idx="778">
                  <c:v>549.22472240709908</c:v>
                </c:pt>
                <c:pt idx="779">
                  <c:v>550.35805693167777</c:v>
                </c:pt>
                <c:pt idx="780">
                  <c:v>551.486293391613</c:v>
                </c:pt>
                <c:pt idx="781">
                  <c:v>552.60942556458258</c:v>
                </c:pt>
                <c:pt idx="782">
                  <c:v>553.72744767167922</c:v>
                </c:pt>
                <c:pt idx="783">
                  <c:v>554.84035437386444</c:v>
                </c:pt>
                <c:pt idx="784">
                  <c:v>555.9481407683686</c:v>
                </c:pt>
                <c:pt idx="785">
                  <c:v>557.05080238503785</c:v>
                </c:pt>
                <c:pt idx="786">
                  <c:v>558.14833518263117</c:v>
                </c:pt>
                <c:pt idx="787">
                  <c:v>559.24073554506901</c:v>
                </c:pt>
                <c:pt idx="788">
                  <c:v>560.32800027763528</c:v>
                </c:pt>
                <c:pt idx="789">
                  <c:v>561.41012660313538</c:v>
                </c:pt>
                <c:pt idx="790">
                  <c:v>562.48711215801109</c:v>
                </c:pt>
                <c:pt idx="791">
                  <c:v>563.55895498841528</c:v>
                </c:pt>
                <c:pt idx="792">
                  <c:v>564.62565354624758</c:v>
                </c:pt>
                <c:pt idx="793">
                  <c:v>565.68720668515346</c:v>
                </c:pt>
                <c:pt idx="794">
                  <c:v>566.74361365648815</c:v>
                </c:pt>
                <c:pt idx="795">
                  <c:v>567.79487410524723</c:v>
                </c:pt>
                <c:pt idx="796">
                  <c:v>568.84098806596592</c:v>
                </c:pt>
                <c:pt idx="797">
                  <c:v>569.88195595858906</c:v>
                </c:pt>
                <c:pt idx="798">
                  <c:v>570.9177785843126</c:v>
                </c:pt>
                <c:pt idx="799">
                  <c:v>571.94845712139954</c:v>
                </c:pt>
                <c:pt idx="800">
                  <c:v>572.97399312097116</c:v>
                </c:pt>
                <c:pt idx="801">
                  <c:v>573.99438850277579</c:v>
                </c:pt>
                <c:pt idx="802">
                  <c:v>575.0096455509364</c:v>
                </c:pt>
                <c:pt idx="803">
                  <c:v>576.01976690967842</c:v>
                </c:pt>
                <c:pt idx="804">
                  <c:v>577.02475557904086</c:v>
                </c:pt>
                <c:pt idx="805">
                  <c:v>578.02461491056988</c:v>
                </c:pt>
                <c:pt idx="806">
                  <c:v>579.01934860299889</c:v>
                </c:pt>
                <c:pt idx="807">
                  <c:v>580.00896069791509</c:v>
                </c:pt>
                <c:pt idx="808">
                  <c:v>580.99345557541437</c:v>
                </c:pt>
                <c:pt idx="809">
                  <c:v>581.97283794974669</c:v>
                </c:pt>
                <c:pt idx="810">
                  <c:v>582.94711286495226</c:v>
                </c:pt>
                <c:pt idx="811">
                  <c:v>583.91628569049124</c:v>
                </c:pt>
                <c:pt idx="812">
                  <c:v>584.8803621168671</c:v>
                </c:pt>
                <c:pt idx="813">
                  <c:v>585.83934815124655</c:v>
                </c:pt>
                <c:pt idx="814">
                  <c:v>586.79325011307537</c:v>
                </c:pt>
                <c:pt idx="815">
                  <c:v>587.742074629694</c:v>
                </c:pt>
                <c:pt idx="816">
                  <c:v>588.68582863195172</c:v>
                </c:pt>
                <c:pt idx="817">
                  <c:v>589.62451934982255</c:v>
                </c:pt>
                <c:pt idx="818">
                  <c:v>590.55815430802329</c:v>
                </c:pt>
                <c:pt idx="819">
                  <c:v>591.4867413216349</c:v>
                </c:pt>
                <c:pt idx="820">
                  <c:v>592.41028849172892</c:v>
                </c:pt>
                <c:pt idx="821">
                  <c:v>593.32880420099957</c:v>
                </c:pt>
                <c:pt idx="822">
                  <c:v>594.24229710940301</c:v>
                </c:pt>
                <c:pt idx="823">
                  <c:v>595.1507761498051</c:v>
                </c:pt>
                <c:pt idx="824">
                  <c:v>596.05425052363819</c:v>
                </c:pt>
                <c:pt idx="825">
                  <c:v>596.9527296965681</c:v>
                </c:pt>
                <c:pt idx="826">
                  <c:v>597.84622339417342</c:v>
                </c:pt>
                <c:pt idx="827">
                  <c:v>598.73474159763646</c:v>
                </c:pt>
                <c:pt idx="828">
                  <c:v>599.61829453944802</c:v>
                </c:pt>
                <c:pt idx="829">
                  <c:v>600.49689269912676</c:v>
                </c:pt>
                <c:pt idx="830">
                  <c:v>601.3705467989538</c:v>
                </c:pt>
                <c:pt idx="831">
                  <c:v>602.23926779972396</c:v>
                </c:pt>
                <c:pt idx="832">
                  <c:v>603.10306689651384</c:v>
                </c:pt>
                <c:pt idx="833">
                  <c:v>603.96195551446851</c:v>
                </c:pt>
                <c:pt idx="834">
                  <c:v>604.81594530460688</c:v>
                </c:pt>
                <c:pt idx="835">
                  <c:v>605.66504813964707</c:v>
                </c:pt>
                <c:pt idx="836">
                  <c:v>606.50927610985218</c:v>
                </c:pt>
                <c:pt idx="837">
                  <c:v>607.34864151889758</c:v>
                </c:pt>
                <c:pt idx="838">
                  <c:v>608.18315687976053</c:v>
                </c:pt>
                <c:pt idx="839">
                  <c:v>609.01283491063248</c:v>
                </c:pt>
                <c:pt idx="840">
                  <c:v>609.83768853085473</c:v>
                </c:pt>
                <c:pt idx="841">
                  <c:v>610.65773085687874</c:v>
                </c:pt>
                <c:pt idx="842">
                  <c:v>611.47297519825145</c:v>
                </c:pt>
                <c:pt idx="843">
                  <c:v>612.28343505362557</c:v>
                </c:pt>
                <c:pt idx="844">
                  <c:v>613.08912410679648</c:v>
                </c:pt>
                <c:pt idx="845">
                  <c:v>613.89005622276591</c:v>
                </c:pt>
                <c:pt idx="846">
                  <c:v>614.68624544383272</c:v>
                </c:pt>
                <c:pt idx="847">
                  <c:v>615.47770598571162</c:v>
                </c:pt>
                <c:pt idx="848">
                  <c:v>616.26445223368046</c:v>
                </c:pt>
                <c:pt idx="849">
                  <c:v>617.04649873875599</c:v>
                </c:pt>
                <c:pt idx="850">
                  <c:v>617.82386021389925</c:v>
                </c:pt>
                <c:pt idx="851">
                  <c:v>618.59655153025108</c:v>
                </c:pt>
                <c:pt idx="852">
                  <c:v>619.36458771339733</c:v>
                </c:pt>
                <c:pt idx="853">
                  <c:v>620.12798393966511</c:v>
                </c:pt>
                <c:pt idx="854">
                  <c:v>620.88675553244968</c:v>
                </c:pt>
                <c:pt idx="855">
                  <c:v>621.64091795857371</c:v>
                </c:pt>
                <c:pt idx="856">
                  <c:v>622.39048682467728</c:v>
                </c:pt>
                <c:pt idx="857">
                  <c:v>623.13547787364075</c:v>
                </c:pt>
                <c:pt idx="858">
                  <c:v>623.87590698103963</c:v>
                </c:pt>
                <c:pt idx="859">
                  <c:v>624.61179015163282</c:v>
                </c:pt>
                <c:pt idx="860">
                  <c:v>625.34314351588318</c:v>
                </c:pt>
                <c:pt idx="861">
                  <c:v>626.06998332651199</c:v>
                </c:pt>
                <c:pt idx="862">
                  <c:v>626.79232595508665</c:v>
                </c:pt>
                <c:pt idx="863">
                  <c:v>627.51018788864246</c:v>
                </c:pt>
                <c:pt idx="864">
                  <c:v>628.22358572633811</c:v>
                </c:pt>
                <c:pt idx="865">
                  <c:v>628.93253617614562</c:v>
                </c:pt>
                <c:pt idx="866">
                  <c:v>629.6370560515744</c:v>
                </c:pt>
                <c:pt idx="867">
                  <c:v>630.33716226843023</c:v>
                </c:pt>
                <c:pt idx="868">
                  <c:v>631.03287184160877</c:v>
                </c:pt>
                <c:pt idx="869">
                  <c:v>631.72420188192359</c:v>
                </c:pt>
                <c:pt idx="870">
                  <c:v>632.41116959296983</c:v>
                </c:pt>
                <c:pt idx="871">
                  <c:v>633.09379226802241</c:v>
                </c:pt>
                <c:pt idx="872">
                  <c:v>633.77208728696939</c:v>
                </c:pt>
                <c:pt idx="873">
                  <c:v>634.44607211328116</c:v>
                </c:pt>
                <c:pt idx="874">
                  <c:v>635.11576429101387</c:v>
                </c:pt>
                <c:pt idx="875">
                  <c:v>635.78118144184918</c:v>
                </c:pt>
                <c:pt idx="876">
                  <c:v>636.44234126216907</c:v>
                </c:pt>
                <c:pt idx="877">
                  <c:v>637.09926152016578</c:v>
                </c:pt>
                <c:pt idx="878">
                  <c:v>637.75196005298756</c:v>
                </c:pt>
                <c:pt idx="879">
                  <c:v>638.40045476391947</c:v>
                </c:pt>
                <c:pt idx="880">
                  <c:v>638.40045476391947</c:v>
                </c:pt>
                <c:pt idx="881">
                  <c:v>638.40045476391947</c:v>
                </c:pt>
                <c:pt idx="882">
                  <c:v>638.40045476391947</c:v>
                </c:pt>
                <c:pt idx="883">
                  <c:v>638.40045476391947</c:v>
                </c:pt>
                <c:pt idx="884">
                  <c:v>638.40045476391947</c:v>
                </c:pt>
                <c:pt idx="885">
                  <c:v>638.40045476391947</c:v>
                </c:pt>
                <c:pt idx="886">
                  <c:v>638.40045476391947</c:v>
                </c:pt>
                <c:pt idx="887">
                  <c:v>638.40045476391947</c:v>
                </c:pt>
                <c:pt idx="888">
                  <c:v>638.40045476391947</c:v>
                </c:pt>
                <c:pt idx="889">
                  <c:v>638.40045476391947</c:v>
                </c:pt>
                <c:pt idx="890">
                  <c:v>638.40045476391947</c:v>
                </c:pt>
                <c:pt idx="891">
                  <c:v>638.40045476391947</c:v>
                </c:pt>
                <c:pt idx="892">
                  <c:v>638.40045476391947</c:v>
                </c:pt>
                <c:pt idx="893">
                  <c:v>638.40045476391947</c:v>
                </c:pt>
                <c:pt idx="894">
                  <c:v>638.40045476391947</c:v>
                </c:pt>
                <c:pt idx="895">
                  <c:v>638.40045476391947</c:v>
                </c:pt>
                <c:pt idx="896">
                  <c:v>638.40045476391947</c:v>
                </c:pt>
                <c:pt idx="897">
                  <c:v>638.40045476391947</c:v>
                </c:pt>
                <c:pt idx="898">
                  <c:v>638.40045476391947</c:v>
                </c:pt>
                <c:pt idx="899">
                  <c:v>638.40045476391947</c:v>
                </c:pt>
                <c:pt idx="900">
                  <c:v>638.40045476391947</c:v>
                </c:pt>
                <c:pt idx="901">
                  <c:v>638.40045476391947</c:v>
                </c:pt>
                <c:pt idx="902">
                  <c:v>638.40045476391947</c:v>
                </c:pt>
                <c:pt idx="903">
                  <c:v>638.40045476391947</c:v>
                </c:pt>
                <c:pt idx="904">
                  <c:v>638.40045476391947</c:v>
                </c:pt>
                <c:pt idx="905">
                  <c:v>638.40045476391947</c:v>
                </c:pt>
                <c:pt idx="906">
                  <c:v>638.40045476391947</c:v>
                </c:pt>
                <c:pt idx="907">
                  <c:v>638.40045476391947</c:v>
                </c:pt>
                <c:pt idx="908">
                  <c:v>638.40045476391947</c:v>
                </c:pt>
                <c:pt idx="909">
                  <c:v>638.40045476391947</c:v>
                </c:pt>
                <c:pt idx="910">
                  <c:v>638.40045476391947</c:v>
                </c:pt>
                <c:pt idx="911">
                  <c:v>638.40045476391947</c:v>
                </c:pt>
                <c:pt idx="912">
                  <c:v>638.40045476391947</c:v>
                </c:pt>
                <c:pt idx="913">
                  <c:v>638.40045476391947</c:v>
                </c:pt>
                <c:pt idx="914">
                  <c:v>638.40045476391947</c:v>
                </c:pt>
                <c:pt idx="915">
                  <c:v>638.40045476391947</c:v>
                </c:pt>
                <c:pt idx="916">
                  <c:v>638.40045476391947</c:v>
                </c:pt>
                <c:pt idx="917">
                  <c:v>638.40045476391947</c:v>
                </c:pt>
                <c:pt idx="918">
                  <c:v>638.40045476391947</c:v>
                </c:pt>
                <c:pt idx="919">
                  <c:v>638.40045476391947</c:v>
                </c:pt>
                <c:pt idx="920">
                  <c:v>638.40045476391947</c:v>
                </c:pt>
                <c:pt idx="921">
                  <c:v>638.40045476391947</c:v>
                </c:pt>
                <c:pt idx="922">
                  <c:v>638.40045476391947</c:v>
                </c:pt>
                <c:pt idx="923">
                  <c:v>638.40045476391947</c:v>
                </c:pt>
                <c:pt idx="924">
                  <c:v>638.40045476391947</c:v>
                </c:pt>
                <c:pt idx="925">
                  <c:v>638.40045476391947</c:v>
                </c:pt>
                <c:pt idx="926">
                  <c:v>638.40045476391947</c:v>
                </c:pt>
                <c:pt idx="927">
                  <c:v>638.40045476391947</c:v>
                </c:pt>
                <c:pt idx="928">
                  <c:v>638.40045476391947</c:v>
                </c:pt>
                <c:pt idx="929">
                  <c:v>638.40045476391947</c:v>
                </c:pt>
                <c:pt idx="930">
                  <c:v>638.40045476391947</c:v>
                </c:pt>
                <c:pt idx="931">
                  <c:v>638.40045476391947</c:v>
                </c:pt>
                <c:pt idx="932">
                  <c:v>638.40045476391947</c:v>
                </c:pt>
                <c:pt idx="933">
                  <c:v>638.40045476391947</c:v>
                </c:pt>
                <c:pt idx="934">
                  <c:v>638.40045476391947</c:v>
                </c:pt>
                <c:pt idx="935">
                  <c:v>638.40045476391947</c:v>
                </c:pt>
                <c:pt idx="936">
                  <c:v>638.40045476391947</c:v>
                </c:pt>
                <c:pt idx="937">
                  <c:v>638.40045476391947</c:v>
                </c:pt>
                <c:pt idx="938">
                  <c:v>638.40045476391947</c:v>
                </c:pt>
                <c:pt idx="939">
                  <c:v>638.40045476391947</c:v>
                </c:pt>
                <c:pt idx="940">
                  <c:v>638.40045476391947</c:v>
                </c:pt>
                <c:pt idx="941">
                  <c:v>638.40045476391947</c:v>
                </c:pt>
                <c:pt idx="942">
                  <c:v>638.40045476391947</c:v>
                </c:pt>
                <c:pt idx="943">
                  <c:v>638.40045476391947</c:v>
                </c:pt>
                <c:pt idx="944">
                  <c:v>638.40045476391947</c:v>
                </c:pt>
                <c:pt idx="945">
                  <c:v>638.40045476391947</c:v>
                </c:pt>
                <c:pt idx="946">
                  <c:v>638.40045476391947</c:v>
                </c:pt>
                <c:pt idx="947">
                  <c:v>638.40045476391947</c:v>
                </c:pt>
                <c:pt idx="948">
                  <c:v>638.40045476391947</c:v>
                </c:pt>
                <c:pt idx="949">
                  <c:v>638.40045476391947</c:v>
                </c:pt>
                <c:pt idx="950">
                  <c:v>638.40045476391947</c:v>
                </c:pt>
                <c:pt idx="951">
                  <c:v>638.40045476391947</c:v>
                </c:pt>
                <c:pt idx="952">
                  <c:v>638.40045476391947</c:v>
                </c:pt>
                <c:pt idx="953">
                  <c:v>638.40045476391947</c:v>
                </c:pt>
                <c:pt idx="954">
                  <c:v>638.40045476391947</c:v>
                </c:pt>
                <c:pt idx="955">
                  <c:v>638.40045476391947</c:v>
                </c:pt>
                <c:pt idx="956">
                  <c:v>638.40045476391947</c:v>
                </c:pt>
                <c:pt idx="957">
                  <c:v>638.40045476391947</c:v>
                </c:pt>
                <c:pt idx="958">
                  <c:v>638.40045476391947</c:v>
                </c:pt>
                <c:pt idx="959">
                  <c:v>638.40045476391947</c:v>
                </c:pt>
                <c:pt idx="960">
                  <c:v>638.40045476391947</c:v>
                </c:pt>
                <c:pt idx="961">
                  <c:v>638.40045476391947</c:v>
                </c:pt>
                <c:pt idx="962">
                  <c:v>638.40045476391947</c:v>
                </c:pt>
                <c:pt idx="963">
                  <c:v>638.40045476391947</c:v>
                </c:pt>
                <c:pt idx="964">
                  <c:v>638.40045476391947</c:v>
                </c:pt>
                <c:pt idx="965">
                  <c:v>638.40045476391947</c:v>
                </c:pt>
                <c:pt idx="966">
                  <c:v>638.40045476391947</c:v>
                </c:pt>
                <c:pt idx="967">
                  <c:v>638.40045476391947</c:v>
                </c:pt>
                <c:pt idx="968">
                  <c:v>638.40045476391947</c:v>
                </c:pt>
                <c:pt idx="969">
                  <c:v>638.40045476391947</c:v>
                </c:pt>
                <c:pt idx="970">
                  <c:v>638.40045476391947</c:v>
                </c:pt>
                <c:pt idx="971">
                  <c:v>638.40045476391947</c:v>
                </c:pt>
                <c:pt idx="972">
                  <c:v>638.40045476391947</c:v>
                </c:pt>
                <c:pt idx="973">
                  <c:v>638.40045476391947</c:v>
                </c:pt>
                <c:pt idx="974">
                  <c:v>638.40045476391947</c:v>
                </c:pt>
                <c:pt idx="975">
                  <c:v>638.40045476391947</c:v>
                </c:pt>
                <c:pt idx="976">
                  <c:v>638.40045476391947</c:v>
                </c:pt>
                <c:pt idx="977">
                  <c:v>638.40045476391947</c:v>
                </c:pt>
                <c:pt idx="978">
                  <c:v>638.40045476391947</c:v>
                </c:pt>
                <c:pt idx="979">
                  <c:v>638.40045476391947</c:v>
                </c:pt>
                <c:pt idx="980">
                  <c:v>638.40045476391947</c:v>
                </c:pt>
                <c:pt idx="981">
                  <c:v>638.40045476391947</c:v>
                </c:pt>
                <c:pt idx="982">
                  <c:v>638.40045476391947</c:v>
                </c:pt>
                <c:pt idx="983">
                  <c:v>638.40045476391947</c:v>
                </c:pt>
                <c:pt idx="984">
                  <c:v>638.40045476391947</c:v>
                </c:pt>
                <c:pt idx="985">
                  <c:v>638.40045476391947</c:v>
                </c:pt>
                <c:pt idx="986">
                  <c:v>638.40045476391947</c:v>
                </c:pt>
                <c:pt idx="987">
                  <c:v>638.40045476391947</c:v>
                </c:pt>
                <c:pt idx="988">
                  <c:v>638.40045476391947</c:v>
                </c:pt>
                <c:pt idx="989">
                  <c:v>638.40045476391947</c:v>
                </c:pt>
                <c:pt idx="990">
                  <c:v>638.40045476391947</c:v>
                </c:pt>
                <c:pt idx="991">
                  <c:v>638.40045476391947</c:v>
                </c:pt>
                <c:pt idx="992">
                  <c:v>638.40045476391947</c:v>
                </c:pt>
                <c:pt idx="993">
                  <c:v>638.40045476391947</c:v>
                </c:pt>
                <c:pt idx="994">
                  <c:v>638.40045476391947</c:v>
                </c:pt>
                <c:pt idx="995">
                  <c:v>638.40045476391947</c:v>
                </c:pt>
                <c:pt idx="996">
                  <c:v>638.40045476391947</c:v>
                </c:pt>
                <c:pt idx="997">
                  <c:v>638.40045476391947</c:v>
                </c:pt>
                <c:pt idx="998">
                  <c:v>638.40045476391947</c:v>
                </c:pt>
                <c:pt idx="999">
                  <c:v>638.40045476391947</c:v>
                </c:pt>
                <c:pt idx="1000">
                  <c:v>638.40045476391947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0-FB44-B75E-51812F6EEC8B}"/>
            </c:ext>
          </c:extLst>
        </c:ser>
        <c:ser>
          <c:idx val="1"/>
          <c:order val="1"/>
          <c:tx>
            <c:strRef>
              <c:f>Courbes!$B$143</c:f>
              <c:strCache>
                <c:ptCount val="1"/>
                <c:pt idx="0">
                  <c:v>Altitude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Calculs!$B$4:$B$1004</c:f>
              <c:numCache>
                <c:formatCode>0.00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5.0999999999999375</c:v>
                </c:pt>
                <c:pt idx="502">
                  <c:v>5.1999999999999371</c:v>
                </c:pt>
                <c:pt idx="503">
                  <c:v>5.2999999999999368</c:v>
                </c:pt>
                <c:pt idx="504">
                  <c:v>5.3999999999999364</c:v>
                </c:pt>
                <c:pt idx="505">
                  <c:v>5.4999999999999361</c:v>
                </c:pt>
                <c:pt idx="506">
                  <c:v>5.5999999999999357</c:v>
                </c:pt>
                <c:pt idx="507">
                  <c:v>5.6999999999999353</c:v>
                </c:pt>
                <c:pt idx="508">
                  <c:v>5.799999999999935</c:v>
                </c:pt>
                <c:pt idx="509">
                  <c:v>5.8999999999999346</c:v>
                </c:pt>
                <c:pt idx="510">
                  <c:v>5.9999999999999343</c:v>
                </c:pt>
                <c:pt idx="511">
                  <c:v>6.0999999999999339</c:v>
                </c:pt>
                <c:pt idx="512">
                  <c:v>6.1999999999999336</c:v>
                </c:pt>
                <c:pt idx="513">
                  <c:v>6.2999999999999332</c:v>
                </c:pt>
                <c:pt idx="514">
                  <c:v>6.3999999999999329</c:v>
                </c:pt>
                <c:pt idx="515">
                  <c:v>6.4999999999999325</c:v>
                </c:pt>
                <c:pt idx="516">
                  <c:v>6.5999999999999321</c:v>
                </c:pt>
                <c:pt idx="517">
                  <c:v>6.6999999999999318</c:v>
                </c:pt>
                <c:pt idx="518">
                  <c:v>6.7999999999999314</c:v>
                </c:pt>
                <c:pt idx="519">
                  <c:v>6.8999999999999311</c:v>
                </c:pt>
                <c:pt idx="520">
                  <c:v>6.9999999999999307</c:v>
                </c:pt>
                <c:pt idx="521">
                  <c:v>7.0999999999999304</c:v>
                </c:pt>
                <c:pt idx="522">
                  <c:v>7.19999999999993</c:v>
                </c:pt>
                <c:pt idx="523">
                  <c:v>7.2999999999999297</c:v>
                </c:pt>
                <c:pt idx="524">
                  <c:v>7.3999999999999293</c:v>
                </c:pt>
                <c:pt idx="525">
                  <c:v>7.4999999999999289</c:v>
                </c:pt>
                <c:pt idx="526">
                  <c:v>7.5999999999999286</c:v>
                </c:pt>
                <c:pt idx="527">
                  <c:v>7.6999999999999282</c:v>
                </c:pt>
                <c:pt idx="528">
                  <c:v>7.7999999999999279</c:v>
                </c:pt>
                <c:pt idx="529">
                  <c:v>7.8999999999999275</c:v>
                </c:pt>
                <c:pt idx="530">
                  <c:v>7.9999999999999272</c:v>
                </c:pt>
                <c:pt idx="531">
                  <c:v>8.0999999999999268</c:v>
                </c:pt>
                <c:pt idx="532">
                  <c:v>8.1999999999999265</c:v>
                </c:pt>
                <c:pt idx="533">
                  <c:v>8.2999999999999261</c:v>
                </c:pt>
                <c:pt idx="534">
                  <c:v>8.3999999999999257</c:v>
                </c:pt>
                <c:pt idx="535">
                  <c:v>8.4999999999999254</c:v>
                </c:pt>
                <c:pt idx="536">
                  <c:v>8.599999999999925</c:v>
                </c:pt>
                <c:pt idx="537">
                  <c:v>8.6999999999999247</c:v>
                </c:pt>
                <c:pt idx="538">
                  <c:v>8.7999999999999243</c:v>
                </c:pt>
                <c:pt idx="539">
                  <c:v>8.899999999999924</c:v>
                </c:pt>
                <c:pt idx="540">
                  <c:v>8.9999999999999236</c:v>
                </c:pt>
                <c:pt idx="541">
                  <c:v>9.0999999999999233</c:v>
                </c:pt>
                <c:pt idx="542">
                  <c:v>9.1999999999999229</c:v>
                </c:pt>
                <c:pt idx="543">
                  <c:v>9.2999999999999226</c:v>
                </c:pt>
                <c:pt idx="544">
                  <c:v>9.3999999999999222</c:v>
                </c:pt>
                <c:pt idx="545">
                  <c:v>9.4999999999999218</c:v>
                </c:pt>
                <c:pt idx="546">
                  <c:v>9.5999999999999215</c:v>
                </c:pt>
                <c:pt idx="547">
                  <c:v>9.6999999999999211</c:v>
                </c:pt>
                <c:pt idx="548">
                  <c:v>9.7999999999999208</c:v>
                </c:pt>
                <c:pt idx="549">
                  <c:v>9.8999999999999204</c:v>
                </c:pt>
                <c:pt idx="550">
                  <c:v>9.9999999999999201</c:v>
                </c:pt>
                <c:pt idx="551">
                  <c:v>10.09999999999992</c:v>
                </c:pt>
                <c:pt idx="552">
                  <c:v>10.199999999999919</c:v>
                </c:pt>
                <c:pt idx="553">
                  <c:v>10.299999999999919</c:v>
                </c:pt>
                <c:pt idx="554">
                  <c:v>10.399999999999919</c:v>
                </c:pt>
                <c:pt idx="555">
                  <c:v>10.499999999999918</c:v>
                </c:pt>
                <c:pt idx="556">
                  <c:v>10.599999999999918</c:v>
                </c:pt>
                <c:pt idx="557">
                  <c:v>10.699999999999918</c:v>
                </c:pt>
                <c:pt idx="558">
                  <c:v>10.799999999999917</c:v>
                </c:pt>
                <c:pt idx="559">
                  <c:v>10.899999999999917</c:v>
                </c:pt>
                <c:pt idx="560">
                  <c:v>10.999999999999917</c:v>
                </c:pt>
                <c:pt idx="561">
                  <c:v>11.099999999999916</c:v>
                </c:pt>
                <c:pt idx="562">
                  <c:v>11.199999999999916</c:v>
                </c:pt>
                <c:pt idx="563">
                  <c:v>11.299999999999915</c:v>
                </c:pt>
                <c:pt idx="564">
                  <c:v>11.399999999999915</c:v>
                </c:pt>
                <c:pt idx="565">
                  <c:v>11.499999999999915</c:v>
                </c:pt>
                <c:pt idx="566">
                  <c:v>11.599999999999914</c:v>
                </c:pt>
                <c:pt idx="567">
                  <c:v>11.699999999999914</c:v>
                </c:pt>
                <c:pt idx="568">
                  <c:v>11.799999999999914</c:v>
                </c:pt>
                <c:pt idx="569">
                  <c:v>11.899999999999913</c:v>
                </c:pt>
                <c:pt idx="570">
                  <c:v>11.999999999999913</c:v>
                </c:pt>
                <c:pt idx="571">
                  <c:v>12.099999999999913</c:v>
                </c:pt>
                <c:pt idx="572">
                  <c:v>12.199999999999912</c:v>
                </c:pt>
                <c:pt idx="573">
                  <c:v>12.299999999999912</c:v>
                </c:pt>
                <c:pt idx="574">
                  <c:v>12.399999999999912</c:v>
                </c:pt>
                <c:pt idx="575">
                  <c:v>12.499999999999911</c:v>
                </c:pt>
                <c:pt idx="576">
                  <c:v>12.599999999999911</c:v>
                </c:pt>
                <c:pt idx="577">
                  <c:v>12.69999999999991</c:v>
                </c:pt>
                <c:pt idx="578">
                  <c:v>12.79999999999991</c:v>
                </c:pt>
                <c:pt idx="579">
                  <c:v>12.89999999999991</c:v>
                </c:pt>
                <c:pt idx="580">
                  <c:v>12.999999999999909</c:v>
                </c:pt>
                <c:pt idx="581">
                  <c:v>13.099999999999909</c:v>
                </c:pt>
                <c:pt idx="582">
                  <c:v>13.199999999999909</c:v>
                </c:pt>
                <c:pt idx="583">
                  <c:v>13.299999999999908</c:v>
                </c:pt>
                <c:pt idx="584">
                  <c:v>13.399999999999908</c:v>
                </c:pt>
                <c:pt idx="585">
                  <c:v>13.499999999999908</c:v>
                </c:pt>
                <c:pt idx="586">
                  <c:v>13.599999999999907</c:v>
                </c:pt>
                <c:pt idx="587">
                  <c:v>13.699999999999907</c:v>
                </c:pt>
                <c:pt idx="588">
                  <c:v>13.799999999999907</c:v>
                </c:pt>
                <c:pt idx="589">
                  <c:v>13.899999999999906</c:v>
                </c:pt>
                <c:pt idx="590">
                  <c:v>13.999999999999906</c:v>
                </c:pt>
                <c:pt idx="591">
                  <c:v>14.099999999999905</c:v>
                </c:pt>
                <c:pt idx="592">
                  <c:v>14.199999999999905</c:v>
                </c:pt>
                <c:pt idx="593">
                  <c:v>14.299999999999905</c:v>
                </c:pt>
                <c:pt idx="594">
                  <c:v>14.399999999999904</c:v>
                </c:pt>
                <c:pt idx="595">
                  <c:v>14.499999999999904</c:v>
                </c:pt>
                <c:pt idx="596">
                  <c:v>14.599999999999904</c:v>
                </c:pt>
                <c:pt idx="597">
                  <c:v>14.699999999999903</c:v>
                </c:pt>
                <c:pt idx="598">
                  <c:v>14.799999999999903</c:v>
                </c:pt>
                <c:pt idx="599">
                  <c:v>14.899999999999903</c:v>
                </c:pt>
                <c:pt idx="600">
                  <c:v>14.999999999999902</c:v>
                </c:pt>
                <c:pt idx="601">
                  <c:v>15.099999999999902</c:v>
                </c:pt>
                <c:pt idx="602">
                  <c:v>15.199999999999902</c:v>
                </c:pt>
                <c:pt idx="603">
                  <c:v>15.299999999999901</c:v>
                </c:pt>
                <c:pt idx="604">
                  <c:v>15.399999999999901</c:v>
                </c:pt>
                <c:pt idx="605">
                  <c:v>15.499999999999901</c:v>
                </c:pt>
                <c:pt idx="606">
                  <c:v>15.5999999999999</c:v>
                </c:pt>
                <c:pt idx="607">
                  <c:v>15.6999999999999</c:v>
                </c:pt>
                <c:pt idx="608">
                  <c:v>15.799999999999899</c:v>
                </c:pt>
                <c:pt idx="609">
                  <c:v>15.899999999999899</c:v>
                </c:pt>
                <c:pt idx="610">
                  <c:v>15.999999999999899</c:v>
                </c:pt>
                <c:pt idx="611">
                  <c:v>16.099999999999898</c:v>
                </c:pt>
                <c:pt idx="612">
                  <c:v>16.1999999999999</c:v>
                </c:pt>
                <c:pt idx="613">
                  <c:v>16.299999999999901</c:v>
                </c:pt>
                <c:pt idx="614">
                  <c:v>16.399999999999903</c:v>
                </c:pt>
                <c:pt idx="615">
                  <c:v>16.499999999999904</c:v>
                </c:pt>
                <c:pt idx="616">
                  <c:v>16.599999999999905</c:v>
                </c:pt>
                <c:pt idx="617">
                  <c:v>16.699999999999907</c:v>
                </c:pt>
                <c:pt idx="618">
                  <c:v>16.799999999999908</c:v>
                </c:pt>
                <c:pt idx="619">
                  <c:v>16.89999999999991</c:v>
                </c:pt>
                <c:pt idx="620">
                  <c:v>16.999999999999911</c:v>
                </c:pt>
                <c:pt idx="621">
                  <c:v>17.099999999999913</c:v>
                </c:pt>
                <c:pt idx="622">
                  <c:v>17.199999999999914</c:v>
                </c:pt>
                <c:pt idx="623">
                  <c:v>17.299999999999915</c:v>
                </c:pt>
                <c:pt idx="624">
                  <c:v>17.399999999999917</c:v>
                </c:pt>
                <c:pt idx="625">
                  <c:v>17.499999999999918</c:v>
                </c:pt>
                <c:pt idx="626">
                  <c:v>17.59999999999992</c:v>
                </c:pt>
                <c:pt idx="627">
                  <c:v>17.699999999999921</c:v>
                </c:pt>
                <c:pt idx="628">
                  <c:v>17.799999999999923</c:v>
                </c:pt>
                <c:pt idx="629">
                  <c:v>17.899999999999924</c:v>
                </c:pt>
                <c:pt idx="630">
                  <c:v>17.999999999999925</c:v>
                </c:pt>
                <c:pt idx="631">
                  <c:v>18.099999999999927</c:v>
                </c:pt>
                <c:pt idx="632">
                  <c:v>18.199999999999928</c:v>
                </c:pt>
                <c:pt idx="633">
                  <c:v>18.29999999999993</c:v>
                </c:pt>
                <c:pt idx="634">
                  <c:v>18.399999999999931</c:v>
                </c:pt>
                <c:pt idx="635">
                  <c:v>18.499999999999932</c:v>
                </c:pt>
                <c:pt idx="636">
                  <c:v>18.599999999999934</c:v>
                </c:pt>
                <c:pt idx="637">
                  <c:v>18.699999999999935</c:v>
                </c:pt>
                <c:pt idx="638">
                  <c:v>18.799999999999937</c:v>
                </c:pt>
                <c:pt idx="639">
                  <c:v>18.899999999999938</c:v>
                </c:pt>
                <c:pt idx="640">
                  <c:v>18.99999999999994</c:v>
                </c:pt>
                <c:pt idx="641">
                  <c:v>19.099999999999941</c:v>
                </c:pt>
                <c:pt idx="642">
                  <c:v>19.199999999999942</c:v>
                </c:pt>
                <c:pt idx="643">
                  <c:v>19.299999999999944</c:v>
                </c:pt>
                <c:pt idx="644">
                  <c:v>19.399999999999945</c:v>
                </c:pt>
                <c:pt idx="645">
                  <c:v>19.499999999999947</c:v>
                </c:pt>
                <c:pt idx="646">
                  <c:v>19.599999999999948</c:v>
                </c:pt>
                <c:pt idx="647">
                  <c:v>19.69999999999995</c:v>
                </c:pt>
                <c:pt idx="648">
                  <c:v>19.799999999999951</c:v>
                </c:pt>
                <c:pt idx="649">
                  <c:v>19.899999999999952</c:v>
                </c:pt>
                <c:pt idx="650">
                  <c:v>19.999999999999954</c:v>
                </c:pt>
                <c:pt idx="651">
                  <c:v>20.099999999999955</c:v>
                </c:pt>
                <c:pt idx="652">
                  <c:v>20.199999999999957</c:v>
                </c:pt>
                <c:pt idx="653">
                  <c:v>20.299999999999958</c:v>
                </c:pt>
                <c:pt idx="654">
                  <c:v>20.399999999999959</c:v>
                </c:pt>
                <c:pt idx="655">
                  <c:v>20.499999999999961</c:v>
                </c:pt>
                <c:pt idx="656">
                  <c:v>20.599999999999962</c:v>
                </c:pt>
                <c:pt idx="657">
                  <c:v>20.699999999999964</c:v>
                </c:pt>
                <c:pt idx="658">
                  <c:v>20.799999999999965</c:v>
                </c:pt>
                <c:pt idx="659">
                  <c:v>20.899999999999967</c:v>
                </c:pt>
                <c:pt idx="660">
                  <c:v>20.999999999999968</c:v>
                </c:pt>
                <c:pt idx="661">
                  <c:v>21.099999999999969</c:v>
                </c:pt>
                <c:pt idx="662">
                  <c:v>21.199999999999971</c:v>
                </c:pt>
                <c:pt idx="663">
                  <c:v>21.299999999999972</c:v>
                </c:pt>
                <c:pt idx="664">
                  <c:v>21.399999999999974</c:v>
                </c:pt>
                <c:pt idx="665">
                  <c:v>21.499999999999975</c:v>
                </c:pt>
                <c:pt idx="666">
                  <c:v>21.599999999999977</c:v>
                </c:pt>
                <c:pt idx="667">
                  <c:v>21.699999999999978</c:v>
                </c:pt>
                <c:pt idx="668">
                  <c:v>21.799999999999979</c:v>
                </c:pt>
                <c:pt idx="669">
                  <c:v>21.899999999999981</c:v>
                </c:pt>
                <c:pt idx="670">
                  <c:v>21.999999999999982</c:v>
                </c:pt>
                <c:pt idx="671">
                  <c:v>22.099999999999984</c:v>
                </c:pt>
                <c:pt idx="672">
                  <c:v>22.199999999999985</c:v>
                </c:pt>
                <c:pt idx="673">
                  <c:v>22.299999999999986</c:v>
                </c:pt>
                <c:pt idx="674">
                  <c:v>22.399999999999988</c:v>
                </c:pt>
                <c:pt idx="675">
                  <c:v>22.499999999999989</c:v>
                </c:pt>
                <c:pt idx="676">
                  <c:v>22.599999999999991</c:v>
                </c:pt>
                <c:pt idx="677">
                  <c:v>22.699999999999992</c:v>
                </c:pt>
                <c:pt idx="678">
                  <c:v>22.799999999999994</c:v>
                </c:pt>
                <c:pt idx="679">
                  <c:v>22.899999999999995</c:v>
                </c:pt>
                <c:pt idx="680">
                  <c:v>22.999999999999996</c:v>
                </c:pt>
                <c:pt idx="681">
                  <c:v>23.099999999999998</c:v>
                </c:pt>
                <c:pt idx="682">
                  <c:v>23.2</c:v>
                </c:pt>
                <c:pt idx="683">
                  <c:v>23.3</c:v>
                </c:pt>
                <c:pt idx="684">
                  <c:v>23.400000000000002</c:v>
                </c:pt>
                <c:pt idx="685">
                  <c:v>23.500000000000004</c:v>
                </c:pt>
                <c:pt idx="686">
                  <c:v>23.600000000000005</c:v>
                </c:pt>
                <c:pt idx="687">
                  <c:v>23.700000000000006</c:v>
                </c:pt>
                <c:pt idx="688">
                  <c:v>23.800000000000008</c:v>
                </c:pt>
                <c:pt idx="689">
                  <c:v>23.900000000000009</c:v>
                </c:pt>
                <c:pt idx="690">
                  <c:v>24.000000000000011</c:v>
                </c:pt>
                <c:pt idx="691">
                  <c:v>24.100000000000012</c:v>
                </c:pt>
                <c:pt idx="692">
                  <c:v>24.200000000000014</c:v>
                </c:pt>
                <c:pt idx="693">
                  <c:v>24.300000000000015</c:v>
                </c:pt>
                <c:pt idx="694">
                  <c:v>24.400000000000016</c:v>
                </c:pt>
                <c:pt idx="695">
                  <c:v>24.500000000000018</c:v>
                </c:pt>
                <c:pt idx="696">
                  <c:v>24.600000000000019</c:v>
                </c:pt>
                <c:pt idx="697">
                  <c:v>24.700000000000021</c:v>
                </c:pt>
                <c:pt idx="698">
                  <c:v>24.800000000000022</c:v>
                </c:pt>
                <c:pt idx="699">
                  <c:v>24.900000000000023</c:v>
                </c:pt>
                <c:pt idx="700">
                  <c:v>25.000000000000025</c:v>
                </c:pt>
                <c:pt idx="701">
                  <c:v>25.100000000000026</c:v>
                </c:pt>
                <c:pt idx="702">
                  <c:v>25.200000000000028</c:v>
                </c:pt>
                <c:pt idx="703">
                  <c:v>25.300000000000029</c:v>
                </c:pt>
                <c:pt idx="704">
                  <c:v>25.400000000000031</c:v>
                </c:pt>
                <c:pt idx="705">
                  <c:v>25.500000000000032</c:v>
                </c:pt>
                <c:pt idx="706">
                  <c:v>25.600000000000033</c:v>
                </c:pt>
                <c:pt idx="707">
                  <c:v>25.700000000000035</c:v>
                </c:pt>
                <c:pt idx="708">
                  <c:v>25.800000000000036</c:v>
                </c:pt>
                <c:pt idx="709">
                  <c:v>25.900000000000038</c:v>
                </c:pt>
                <c:pt idx="710">
                  <c:v>26.000000000000039</c:v>
                </c:pt>
                <c:pt idx="711">
                  <c:v>26.100000000000041</c:v>
                </c:pt>
                <c:pt idx="712">
                  <c:v>26.200000000000042</c:v>
                </c:pt>
                <c:pt idx="713">
                  <c:v>26.300000000000043</c:v>
                </c:pt>
                <c:pt idx="714">
                  <c:v>26.400000000000045</c:v>
                </c:pt>
                <c:pt idx="715">
                  <c:v>26.500000000000046</c:v>
                </c:pt>
                <c:pt idx="716">
                  <c:v>26.600000000000048</c:v>
                </c:pt>
                <c:pt idx="717">
                  <c:v>26.700000000000049</c:v>
                </c:pt>
                <c:pt idx="718">
                  <c:v>26.80000000000005</c:v>
                </c:pt>
                <c:pt idx="719">
                  <c:v>26.900000000000052</c:v>
                </c:pt>
                <c:pt idx="720">
                  <c:v>27.000000000000053</c:v>
                </c:pt>
                <c:pt idx="721">
                  <c:v>27.100000000000055</c:v>
                </c:pt>
                <c:pt idx="722">
                  <c:v>27.200000000000056</c:v>
                </c:pt>
                <c:pt idx="723">
                  <c:v>27.300000000000058</c:v>
                </c:pt>
                <c:pt idx="724">
                  <c:v>27.400000000000059</c:v>
                </c:pt>
                <c:pt idx="725">
                  <c:v>27.50000000000006</c:v>
                </c:pt>
                <c:pt idx="726">
                  <c:v>27.600000000000062</c:v>
                </c:pt>
                <c:pt idx="727">
                  <c:v>27.700000000000063</c:v>
                </c:pt>
                <c:pt idx="728">
                  <c:v>27.800000000000065</c:v>
                </c:pt>
                <c:pt idx="729">
                  <c:v>27.900000000000066</c:v>
                </c:pt>
                <c:pt idx="730">
                  <c:v>28.000000000000068</c:v>
                </c:pt>
                <c:pt idx="731">
                  <c:v>28.100000000000069</c:v>
                </c:pt>
                <c:pt idx="732">
                  <c:v>28.20000000000007</c:v>
                </c:pt>
                <c:pt idx="733">
                  <c:v>28.300000000000072</c:v>
                </c:pt>
                <c:pt idx="734">
                  <c:v>28.400000000000073</c:v>
                </c:pt>
                <c:pt idx="735">
                  <c:v>28.500000000000075</c:v>
                </c:pt>
                <c:pt idx="736">
                  <c:v>28.600000000000076</c:v>
                </c:pt>
                <c:pt idx="737">
                  <c:v>28.700000000000077</c:v>
                </c:pt>
                <c:pt idx="738">
                  <c:v>28.800000000000079</c:v>
                </c:pt>
                <c:pt idx="739">
                  <c:v>28.90000000000008</c:v>
                </c:pt>
                <c:pt idx="740">
                  <c:v>29.000000000000082</c:v>
                </c:pt>
                <c:pt idx="741">
                  <c:v>29.100000000000083</c:v>
                </c:pt>
                <c:pt idx="742">
                  <c:v>29.200000000000085</c:v>
                </c:pt>
                <c:pt idx="743">
                  <c:v>29.300000000000086</c:v>
                </c:pt>
                <c:pt idx="744">
                  <c:v>29.400000000000087</c:v>
                </c:pt>
                <c:pt idx="745">
                  <c:v>29.500000000000089</c:v>
                </c:pt>
                <c:pt idx="746">
                  <c:v>29.60000000000009</c:v>
                </c:pt>
                <c:pt idx="747">
                  <c:v>29.700000000000092</c:v>
                </c:pt>
                <c:pt idx="748">
                  <c:v>29.800000000000093</c:v>
                </c:pt>
                <c:pt idx="749">
                  <c:v>29.900000000000095</c:v>
                </c:pt>
                <c:pt idx="750">
                  <c:v>30.000000000000096</c:v>
                </c:pt>
                <c:pt idx="751">
                  <c:v>30.100000000000097</c:v>
                </c:pt>
                <c:pt idx="752">
                  <c:v>30.200000000000099</c:v>
                </c:pt>
                <c:pt idx="753">
                  <c:v>30.3000000000001</c:v>
                </c:pt>
                <c:pt idx="754">
                  <c:v>30.400000000000102</c:v>
                </c:pt>
                <c:pt idx="755">
                  <c:v>30.500000000000103</c:v>
                </c:pt>
                <c:pt idx="756">
                  <c:v>30.600000000000104</c:v>
                </c:pt>
                <c:pt idx="757">
                  <c:v>30.700000000000106</c:v>
                </c:pt>
                <c:pt idx="758">
                  <c:v>30.800000000000107</c:v>
                </c:pt>
                <c:pt idx="759">
                  <c:v>30.900000000000109</c:v>
                </c:pt>
                <c:pt idx="760">
                  <c:v>31.00000000000011</c:v>
                </c:pt>
                <c:pt idx="761">
                  <c:v>31.100000000000112</c:v>
                </c:pt>
                <c:pt idx="762">
                  <c:v>31.200000000000113</c:v>
                </c:pt>
                <c:pt idx="763">
                  <c:v>31.300000000000114</c:v>
                </c:pt>
                <c:pt idx="764">
                  <c:v>31.400000000000116</c:v>
                </c:pt>
                <c:pt idx="765">
                  <c:v>31.500000000000117</c:v>
                </c:pt>
                <c:pt idx="766">
                  <c:v>31.600000000000119</c:v>
                </c:pt>
                <c:pt idx="767">
                  <c:v>31.70000000000012</c:v>
                </c:pt>
                <c:pt idx="768">
                  <c:v>31.800000000000122</c:v>
                </c:pt>
                <c:pt idx="769">
                  <c:v>31.900000000000123</c:v>
                </c:pt>
                <c:pt idx="770">
                  <c:v>32.000000000000121</c:v>
                </c:pt>
                <c:pt idx="771">
                  <c:v>32.100000000000122</c:v>
                </c:pt>
                <c:pt idx="772">
                  <c:v>32.200000000000124</c:v>
                </c:pt>
                <c:pt idx="773">
                  <c:v>32.300000000000125</c:v>
                </c:pt>
                <c:pt idx="774">
                  <c:v>32.400000000000126</c:v>
                </c:pt>
                <c:pt idx="775">
                  <c:v>32.500000000000128</c:v>
                </c:pt>
                <c:pt idx="776">
                  <c:v>32.600000000000129</c:v>
                </c:pt>
                <c:pt idx="777">
                  <c:v>32.700000000000131</c:v>
                </c:pt>
                <c:pt idx="778">
                  <c:v>32.800000000000132</c:v>
                </c:pt>
                <c:pt idx="779">
                  <c:v>32.900000000000134</c:v>
                </c:pt>
                <c:pt idx="780">
                  <c:v>33.000000000000135</c:v>
                </c:pt>
                <c:pt idx="781">
                  <c:v>33.100000000000136</c:v>
                </c:pt>
                <c:pt idx="782">
                  <c:v>33.200000000000138</c:v>
                </c:pt>
                <c:pt idx="783">
                  <c:v>33.300000000000139</c:v>
                </c:pt>
                <c:pt idx="784">
                  <c:v>33.400000000000141</c:v>
                </c:pt>
                <c:pt idx="785">
                  <c:v>33.500000000000142</c:v>
                </c:pt>
                <c:pt idx="786">
                  <c:v>33.600000000000144</c:v>
                </c:pt>
                <c:pt idx="787">
                  <c:v>33.700000000000145</c:v>
                </c:pt>
                <c:pt idx="788">
                  <c:v>33.800000000000146</c:v>
                </c:pt>
                <c:pt idx="789">
                  <c:v>33.900000000000148</c:v>
                </c:pt>
                <c:pt idx="790">
                  <c:v>34.000000000000149</c:v>
                </c:pt>
                <c:pt idx="791">
                  <c:v>34.100000000000151</c:v>
                </c:pt>
                <c:pt idx="792">
                  <c:v>34.200000000000152</c:v>
                </c:pt>
                <c:pt idx="793">
                  <c:v>34.300000000000153</c:v>
                </c:pt>
                <c:pt idx="794">
                  <c:v>34.400000000000155</c:v>
                </c:pt>
                <c:pt idx="795">
                  <c:v>34.500000000000156</c:v>
                </c:pt>
                <c:pt idx="796">
                  <c:v>34.600000000000158</c:v>
                </c:pt>
                <c:pt idx="797">
                  <c:v>34.700000000000159</c:v>
                </c:pt>
                <c:pt idx="798">
                  <c:v>34.800000000000161</c:v>
                </c:pt>
                <c:pt idx="799">
                  <c:v>34.900000000000162</c:v>
                </c:pt>
                <c:pt idx="800">
                  <c:v>35.000000000000163</c:v>
                </c:pt>
                <c:pt idx="801">
                  <c:v>35.100000000000165</c:v>
                </c:pt>
                <c:pt idx="802">
                  <c:v>35.200000000000166</c:v>
                </c:pt>
                <c:pt idx="803">
                  <c:v>35.300000000000168</c:v>
                </c:pt>
                <c:pt idx="804">
                  <c:v>35.400000000000169</c:v>
                </c:pt>
                <c:pt idx="805">
                  <c:v>35.500000000000171</c:v>
                </c:pt>
                <c:pt idx="806">
                  <c:v>35.600000000000172</c:v>
                </c:pt>
                <c:pt idx="807">
                  <c:v>35.700000000000173</c:v>
                </c:pt>
                <c:pt idx="808">
                  <c:v>35.800000000000175</c:v>
                </c:pt>
                <c:pt idx="809">
                  <c:v>35.900000000000176</c:v>
                </c:pt>
                <c:pt idx="810">
                  <c:v>36.000000000000178</c:v>
                </c:pt>
                <c:pt idx="811">
                  <c:v>36.100000000000179</c:v>
                </c:pt>
                <c:pt idx="812">
                  <c:v>36.20000000000018</c:v>
                </c:pt>
                <c:pt idx="813">
                  <c:v>36.300000000000182</c:v>
                </c:pt>
                <c:pt idx="814">
                  <c:v>36.400000000000183</c:v>
                </c:pt>
                <c:pt idx="815">
                  <c:v>36.500000000000185</c:v>
                </c:pt>
                <c:pt idx="816">
                  <c:v>36.600000000000186</c:v>
                </c:pt>
                <c:pt idx="817">
                  <c:v>36.700000000000188</c:v>
                </c:pt>
                <c:pt idx="818">
                  <c:v>36.800000000000189</c:v>
                </c:pt>
                <c:pt idx="819">
                  <c:v>36.90000000000019</c:v>
                </c:pt>
                <c:pt idx="820">
                  <c:v>37.000000000000192</c:v>
                </c:pt>
                <c:pt idx="821">
                  <c:v>37.100000000000193</c:v>
                </c:pt>
                <c:pt idx="822">
                  <c:v>37.200000000000195</c:v>
                </c:pt>
                <c:pt idx="823">
                  <c:v>37.300000000000196</c:v>
                </c:pt>
                <c:pt idx="824">
                  <c:v>37.400000000000198</c:v>
                </c:pt>
                <c:pt idx="825">
                  <c:v>37.500000000000199</c:v>
                </c:pt>
                <c:pt idx="826">
                  <c:v>37.6000000000002</c:v>
                </c:pt>
                <c:pt idx="827">
                  <c:v>37.700000000000202</c:v>
                </c:pt>
                <c:pt idx="828">
                  <c:v>37.800000000000203</c:v>
                </c:pt>
                <c:pt idx="829">
                  <c:v>37.900000000000205</c:v>
                </c:pt>
                <c:pt idx="830">
                  <c:v>38.000000000000206</c:v>
                </c:pt>
                <c:pt idx="831">
                  <c:v>38.100000000000207</c:v>
                </c:pt>
                <c:pt idx="832">
                  <c:v>38.200000000000209</c:v>
                </c:pt>
                <c:pt idx="833">
                  <c:v>38.30000000000021</c:v>
                </c:pt>
                <c:pt idx="834">
                  <c:v>38.400000000000212</c:v>
                </c:pt>
                <c:pt idx="835">
                  <c:v>38.500000000000213</c:v>
                </c:pt>
                <c:pt idx="836">
                  <c:v>38.600000000000215</c:v>
                </c:pt>
                <c:pt idx="837">
                  <c:v>38.700000000000216</c:v>
                </c:pt>
                <c:pt idx="838">
                  <c:v>38.800000000000217</c:v>
                </c:pt>
                <c:pt idx="839">
                  <c:v>38.900000000000219</c:v>
                </c:pt>
                <c:pt idx="840">
                  <c:v>39.00000000000022</c:v>
                </c:pt>
                <c:pt idx="841">
                  <c:v>39.100000000000222</c:v>
                </c:pt>
                <c:pt idx="842">
                  <c:v>39.200000000000223</c:v>
                </c:pt>
                <c:pt idx="843">
                  <c:v>39.300000000000225</c:v>
                </c:pt>
                <c:pt idx="844">
                  <c:v>39.400000000000226</c:v>
                </c:pt>
                <c:pt idx="845">
                  <c:v>39.500000000000227</c:v>
                </c:pt>
                <c:pt idx="846">
                  <c:v>39.600000000000229</c:v>
                </c:pt>
                <c:pt idx="847">
                  <c:v>39.70000000000023</c:v>
                </c:pt>
                <c:pt idx="848">
                  <c:v>39.800000000000232</c:v>
                </c:pt>
                <c:pt idx="849">
                  <c:v>39.900000000000233</c:v>
                </c:pt>
                <c:pt idx="850">
                  <c:v>40.000000000000234</c:v>
                </c:pt>
                <c:pt idx="851">
                  <c:v>40.100000000000236</c:v>
                </c:pt>
                <c:pt idx="852">
                  <c:v>40.200000000000237</c:v>
                </c:pt>
                <c:pt idx="853">
                  <c:v>40.300000000000239</c:v>
                </c:pt>
                <c:pt idx="854">
                  <c:v>40.40000000000024</c:v>
                </c:pt>
                <c:pt idx="855">
                  <c:v>40.500000000000242</c:v>
                </c:pt>
                <c:pt idx="856">
                  <c:v>40.600000000000243</c:v>
                </c:pt>
                <c:pt idx="857">
                  <c:v>40.700000000000244</c:v>
                </c:pt>
                <c:pt idx="858">
                  <c:v>40.800000000000246</c:v>
                </c:pt>
                <c:pt idx="859">
                  <c:v>40.900000000000247</c:v>
                </c:pt>
                <c:pt idx="860">
                  <c:v>41.000000000000249</c:v>
                </c:pt>
                <c:pt idx="861">
                  <c:v>41.10000000000025</c:v>
                </c:pt>
                <c:pt idx="862">
                  <c:v>41.200000000000252</c:v>
                </c:pt>
                <c:pt idx="863">
                  <c:v>41.300000000000253</c:v>
                </c:pt>
                <c:pt idx="864">
                  <c:v>41.400000000000254</c:v>
                </c:pt>
                <c:pt idx="865">
                  <c:v>41.500000000000256</c:v>
                </c:pt>
                <c:pt idx="866">
                  <c:v>41.600000000000257</c:v>
                </c:pt>
                <c:pt idx="867">
                  <c:v>41.700000000000259</c:v>
                </c:pt>
                <c:pt idx="868">
                  <c:v>41.80000000000026</c:v>
                </c:pt>
                <c:pt idx="869">
                  <c:v>41.900000000000261</c:v>
                </c:pt>
                <c:pt idx="870">
                  <c:v>42.000000000000263</c:v>
                </c:pt>
                <c:pt idx="871">
                  <c:v>42.100000000000264</c:v>
                </c:pt>
                <c:pt idx="872">
                  <c:v>42.200000000000266</c:v>
                </c:pt>
                <c:pt idx="873">
                  <c:v>42.300000000000267</c:v>
                </c:pt>
                <c:pt idx="874">
                  <c:v>42.400000000000269</c:v>
                </c:pt>
                <c:pt idx="875">
                  <c:v>42.50000000000027</c:v>
                </c:pt>
                <c:pt idx="876">
                  <c:v>42.600000000000271</c:v>
                </c:pt>
                <c:pt idx="877">
                  <c:v>42.700000000000273</c:v>
                </c:pt>
                <c:pt idx="878">
                  <c:v>42.800000000000274</c:v>
                </c:pt>
                <c:pt idx="879">
                  <c:v>42.900000000000276</c:v>
                </c:pt>
                <c:pt idx="880">
                  <c:v>42.900100000000279</c:v>
                </c:pt>
                <c:pt idx="881">
                  <c:v>42.900200000000282</c:v>
                </c:pt>
                <c:pt idx="882">
                  <c:v>42.900300000000286</c:v>
                </c:pt>
                <c:pt idx="883">
                  <c:v>42.900400000000289</c:v>
                </c:pt>
                <c:pt idx="884">
                  <c:v>42.900500000000292</c:v>
                </c:pt>
                <c:pt idx="885">
                  <c:v>42.900600000000296</c:v>
                </c:pt>
                <c:pt idx="886">
                  <c:v>42.900700000000299</c:v>
                </c:pt>
                <c:pt idx="887">
                  <c:v>42.900800000000302</c:v>
                </c:pt>
                <c:pt idx="888">
                  <c:v>42.900900000000306</c:v>
                </c:pt>
                <c:pt idx="889">
                  <c:v>42.901000000000309</c:v>
                </c:pt>
                <c:pt idx="890">
                  <c:v>42.901100000000312</c:v>
                </c:pt>
                <c:pt idx="891">
                  <c:v>42.901200000000316</c:v>
                </c:pt>
                <c:pt idx="892">
                  <c:v>42.901300000000319</c:v>
                </c:pt>
                <c:pt idx="893">
                  <c:v>42.901400000000322</c:v>
                </c:pt>
                <c:pt idx="894">
                  <c:v>42.901500000000325</c:v>
                </c:pt>
                <c:pt idx="895">
                  <c:v>42.901600000000329</c:v>
                </c:pt>
                <c:pt idx="896">
                  <c:v>42.901700000000332</c:v>
                </c:pt>
                <c:pt idx="897">
                  <c:v>42.901800000000335</c:v>
                </c:pt>
                <c:pt idx="898">
                  <c:v>42.901900000000339</c:v>
                </c:pt>
                <c:pt idx="899">
                  <c:v>42.902000000000342</c:v>
                </c:pt>
                <c:pt idx="900">
                  <c:v>42.902100000000345</c:v>
                </c:pt>
                <c:pt idx="901">
                  <c:v>42.902200000000349</c:v>
                </c:pt>
                <c:pt idx="902">
                  <c:v>42.902300000000352</c:v>
                </c:pt>
                <c:pt idx="903">
                  <c:v>42.902400000000355</c:v>
                </c:pt>
                <c:pt idx="904">
                  <c:v>42.902500000000359</c:v>
                </c:pt>
                <c:pt idx="905">
                  <c:v>42.902600000000362</c:v>
                </c:pt>
                <c:pt idx="906">
                  <c:v>42.902700000000365</c:v>
                </c:pt>
                <c:pt idx="907">
                  <c:v>42.902800000000369</c:v>
                </c:pt>
                <c:pt idx="908">
                  <c:v>42.902900000000372</c:v>
                </c:pt>
                <c:pt idx="909">
                  <c:v>42.903000000000375</c:v>
                </c:pt>
                <c:pt idx="910">
                  <c:v>42.903100000000379</c:v>
                </c:pt>
                <c:pt idx="911">
                  <c:v>42.903200000000382</c:v>
                </c:pt>
                <c:pt idx="912">
                  <c:v>42.903300000000385</c:v>
                </c:pt>
                <c:pt idx="913">
                  <c:v>42.903400000000389</c:v>
                </c:pt>
                <c:pt idx="914">
                  <c:v>42.903500000000392</c:v>
                </c:pt>
                <c:pt idx="915">
                  <c:v>42.903600000000395</c:v>
                </c:pt>
                <c:pt idx="916">
                  <c:v>42.903700000000399</c:v>
                </c:pt>
                <c:pt idx="917">
                  <c:v>42.903800000000402</c:v>
                </c:pt>
                <c:pt idx="918">
                  <c:v>42.903900000000405</c:v>
                </c:pt>
                <c:pt idx="919">
                  <c:v>42.904000000000408</c:v>
                </c:pt>
                <c:pt idx="920">
                  <c:v>42.904100000000412</c:v>
                </c:pt>
                <c:pt idx="921">
                  <c:v>42.904200000000415</c:v>
                </c:pt>
                <c:pt idx="922">
                  <c:v>42.904300000000418</c:v>
                </c:pt>
                <c:pt idx="923">
                  <c:v>42.904400000000422</c:v>
                </c:pt>
                <c:pt idx="924">
                  <c:v>42.904500000000425</c:v>
                </c:pt>
                <c:pt idx="925">
                  <c:v>42.904600000000428</c:v>
                </c:pt>
                <c:pt idx="926">
                  <c:v>42.904700000000432</c:v>
                </c:pt>
                <c:pt idx="927">
                  <c:v>42.904800000000435</c:v>
                </c:pt>
                <c:pt idx="928">
                  <c:v>42.904900000000438</c:v>
                </c:pt>
                <c:pt idx="929">
                  <c:v>42.905000000000442</c:v>
                </c:pt>
                <c:pt idx="930">
                  <c:v>42.905100000000445</c:v>
                </c:pt>
                <c:pt idx="931">
                  <c:v>42.905200000000448</c:v>
                </c:pt>
                <c:pt idx="932">
                  <c:v>42.905300000000452</c:v>
                </c:pt>
                <c:pt idx="933">
                  <c:v>42.905400000000455</c:v>
                </c:pt>
                <c:pt idx="934">
                  <c:v>42.905500000000458</c:v>
                </c:pt>
                <c:pt idx="935">
                  <c:v>42.905600000000462</c:v>
                </c:pt>
                <c:pt idx="936">
                  <c:v>42.905700000000465</c:v>
                </c:pt>
                <c:pt idx="937">
                  <c:v>42.905800000000468</c:v>
                </c:pt>
                <c:pt idx="938">
                  <c:v>42.905900000000472</c:v>
                </c:pt>
                <c:pt idx="939">
                  <c:v>42.906000000000475</c:v>
                </c:pt>
                <c:pt idx="940">
                  <c:v>42.906100000000478</c:v>
                </c:pt>
                <c:pt idx="941">
                  <c:v>42.906200000000482</c:v>
                </c:pt>
                <c:pt idx="942">
                  <c:v>42.906300000000485</c:v>
                </c:pt>
                <c:pt idx="943">
                  <c:v>42.906400000000488</c:v>
                </c:pt>
                <c:pt idx="944">
                  <c:v>42.906500000000491</c:v>
                </c:pt>
                <c:pt idx="945">
                  <c:v>42.906600000000495</c:v>
                </c:pt>
                <c:pt idx="946">
                  <c:v>42.906700000000498</c:v>
                </c:pt>
                <c:pt idx="947">
                  <c:v>42.906800000000501</c:v>
                </c:pt>
                <c:pt idx="948">
                  <c:v>42.906900000000505</c:v>
                </c:pt>
                <c:pt idx="949">
                  <c:v>42.907000000000508</c:v>
                </c:pt>
                <c:pt idx="950">
                  <c:v>42.907100000000511</c:v>
                </c:pt>
                <c:pt idx="951">
                  <c:v>42.907200000000515</c:v>
                </c:pt>
                <c:pt idx="952">
                  <c:v>42.907300000000518</c:v>
                </c:pt>
                <c:pt idx="953">
                  <c:v>42.907400000000521</c:v>
                </c:pt>
                <c:pt idx="954">
                  <c:v>42.907500000000525</c:v>
                </c:pt>
                <c:pt idx="955">
                  <c:v>42.907600000000528</c:v>
                </c:pt>
                <c:pt idx="956">
                  <c:v>42.907700000000531</c:v>
                </c:pt>
                <c:pt idx="957">
                  <c:v>42.907800000000535</c:v>
                </c:pt>
                <c:pt idx="958">
                  <c:v>42.907900000000538</c:v>
                </c:pt>
                <c:pt idx="959">
                  <c:v>42.908000000000541</c:v>
                </c:pt>
                <c:pt idx="960">
                  <c:v>42.908100000000545</c:v>
                </c:pt>
                <c:pt idx="961">
                  <c:v>42.908200000000548</c:v>
                </c:pt>
                <c:pt idx="962">
                  <c:v>42.908300000000551</c:v>
                </c:pt>
                <c:pt idx="963">
                  <c:v>42.908400000000555</c:v>
                </c:pt>
                <c:pt idx="964">
                  <c:v>42.908500000000558</c:v>
                </c:pt>
                <c:pt idx="965">
                  <c:v>42.908600000000561</c:v>
                </c:pt>
                <c:pt idx="966">
                  <c:v>42.908700000000565</c:v>
                </c:pt>
                <c:pt idx="967">
                  <c:v>42.908800000000568</c:v>
                </c:pt>
                <c:pt idx="968">
                  <c:v>42.908900000000571</c:v>
                </c:pt>
                <c:pt idx="969">
                  <c:v>42.909000000000574</c:v>
                </c:pt>
                <c:pt idx="970">
                  <c:v>42.909100000000578</c:v>
                </c:pt>
                <c:pt idx="971">
                  <c:v>42.909200000000581</c:v>
                </c:pt>
                <c:pt idx="972">
                  <c:v>42.909300000000584</c:v>
                </c:pt>
                <c:pt idx="973">
                  <c:v>42.909400000000588</c:v>
                </c:pt>
                <c:pt idx="974">
                  <c:v>42.909500000000591</c:v>
                </c:pt>
                <c:pt idx="975">
                  <c:v>42.909600000000594</c:v>
                </c:pt>
                <c:pt idx="976">
                  <c:v>42.909700000000598</c:v>
                </c:pt>
                <c:pt idx="977">
                  <c:v>42.909800000000601</c:v>
                </c:pt>
                <c:pt idx="978">
                  <c:v>42.909900000000604</c:v>
                </c:pt>
                <c:pt idx="979">
                  <c:v>42.910000000000608</c:v>
                </c:pt>
                <c:pt idx="980">
                  <c:v>42.910100000000611</c:v>
                </c:pt>
                <c:pt idx="981">
                  <c:v>42.910200000000614</c:v>
                </c:pt>
                <c:pt idx="982">
                  <c:v>42.910300000000618</c:v>
                </c:pt>
                <c:pt idx="983">
                  <c:v>42.910400000000621</c:v>
                </c:pt>
                <c:pt idx="984">
                  <c:v>42.910500000000624</c:v>
                </c:pt>
                <c:pt idx="985">
                  <c:v>42.910600000000628</c:v>
                </c:pt>
                <c:pt idx="986">
                  <c:v>42.910700000000631</c:v>
                </c:pt>
                <c:pt idx="987">
                  <c:v>42.910800000000634</c:v>
                </c:pt>
                <c:pt idx="988">
                  <c:v>42.910900000000638</c:v>
                </c:pt>
                <c:pt idx="989">
                  <c:v>42.911000000000641</c:v>
                </c:pt>
                <c:pt idx="990">
                  <c:v>42.911100000000644</c:v>
                </c:pt>
                <c:pt idx="991">
                  <c:v>42.911200000000647</c:v>
                </c:pt>
                <c:pt idx="992">
                  <c:v>42.911300000000651</c:v>
                </c:pt>
                <c:pt idx="993">
                  <c:v>42.911400000000654</c:v>
                </c:pt>
                <c:pt idx="994">
                  <c:v>42.911500000000657</c:v>
                </c:pt>
                <c:pt idx="995">
                  <c:v>42.911600000000661</c:v>
                </c:pt>
                <c:pt idx="996">
                  <c:v>42.911700000000664</c:v>
                </c:pt>
                <c:pt idx="997">
                  <c:v>42.911800000000667</c:v>
                </c:pt>
                <c:pt idx="998">
                  <c:v>42.911900000000671</c:v>
                </c:pt>
                <c:pt idx="999">
                  <c:v>42.912000000000674</c:v>
                </c:pt>
                <c:pt idx="1000">
                  <c:v>42.912100000000677</c:v>
                </c:pt>
              </c:numCache>
            </c:numRef>
          </c:xVal>
          <c:yVal>
            <c:numRef>
              <c:f>Calculs!$K$4:$K$1004</c:f>
              <c:numCache>
                <c:formatCode>0.00</c:formatCode>
                <c:ptCount val="1001"/>
                <c:pt idx="0">
                  <c:v>0</c:v>
                </c:pt>
                <c:pt idx="1">
                  <c:v>3.6807950640821717E-4</c:v>
                </c:pt>
                <c:pt idx="2">
                  <c:v>2.4154461181845406E-3</c:v>
                </c:pt>
                <c:pt idx="3">
                  <c:v>7.4766849142862257E-3</c:v>
                </c:pt>
                <c:pt idx="4">
                  <c:v>1.6334978981427592E-2</c:v>
                </c:pt>
                <c:pt idx="5">
                  <c:v>2.9774092814987885E-2</c:v>
                </c:pt>
                <c:pt idx="6">
                  <c:v>4.8578458045637291E-2</c:v>
                </c:pt>
                <c:pt idx="7">
                  <c:v>7.3533257908880628E-2</c:v>
                </c:pt>
                <c:pt idx="8">
                  <c:v>0.10542451048299134</c:v>
                </c:pt>
                <c:pt idx="9">
                  <c:v>0.14503915071937037</c:v>
                </c:pt>
                <c:pt idx="10">
                  <c:v>0.19316511128796165</c:v>
                </c:pt>
                <c:pt idx="11">
                  <c:v>0.25036616132513001</c:v>
                </c:pt>
                <c:pt idx="12">
                  <c:v>0.31675625537435798</c:v>
                </c:pt>
                <c:pt idx="13">
                  <c:v>0.3922223832332607</c:v>
                </c:pt>
                <c:pt idx="14">
                  <c:v>0.47664786827015271</c:v>
                </c:pt>
                <c:pt idx="15">
                  <c:v>0.56991408191261483</c:v>
                </c:pt>
                <c:pt idx="16">
                  <c:v>0.67190216158397253</c:v>
                </c:pt>
                <c:pt idx="17">
                  <c:v>0.78249301517689585</c:v>
                </c:pt>
                <c:pt idx="18">
                  <c:v>0.9015673255158535</c:v>
                </c:pt>
                <c:pt idx="19">
                  <c:v>1.0290055548077066</c:v>
                </c:pt>
                <c:pt idx="20">
                  <c:v>1.1646879490797337</c:v>
                </c:pt>
                <c:pt idx="21">
                  <c:v>1.3084945426043844</c:v>
                </c:pt>
                <c:pt idx="22">
                  <c:v>1.4603051623100696</c:v>
                </c:pt>
                <c:pt idx="23">
                  <c:v>1.6199994321772992</c:v>
                </c:pt>
                <c:pt idx="24">
                  <c:v>1.7874567776194894</c:v>
                </c:pt>
                <c:pt idx="25">
                  <c:v>1.9625564298477634</c:v>
                </c:pt>
                <c:pt idx="26">
                  <c:v>2.1451774302190865</c:v>
                </c:pt>
                <c:pt idx="27">
                  <c:v>2.3352288870280367</c:v>
                </c:pt>
                <c:pt idx="28">
                  <c:v>2.5326802776299298</c:v>
                </c:pt>
                <c:pt idx="29">
                  <c:v>2.7375312643852259</c:v>
                </c:pt>
                <c:pt idx="30">
                  <c:v>2.9497814630829473</c:v>
                </c:pt>
                <c:pt idx="31">
                  <c:v>3.1694304429017</c:v>
                </c:pt>
                <c:pt idx="32">
                  <c:v>3.3964777263720118</c:v>
                </c:pt>
                <c:pt idx="33">
                  <c:v>3.6309227893399938</c:v>
                </c:pt>
                <c:pt idx="34">
                  <c:v>3.8727650609323239</c:v>
                </c:pt>
                <c:pt idx="35">
                  <c:v>4.122003923522561</c:v>
                </c:pt>
                <c:pt idx="36">
                  <c:v>4.3786349852272481</c:v>
                </c:pt>
                <c:pt idx="37">
                  <c:v>4.6426536890884069</c:v>
                </c:pt>
                <c:pt idx="38">
                  <c:v>4.9140590412563672</c:v>
                </c:pt>
                <c:pt idx="39">
                  <c:v>5.1928500040991938</c:v>
                </c:pt>
                <c:pt idx="40">
                  <c:v>5.4790254976806496</c:v>
                </c:pt>
                <c:pt idx="41">
                  <c:v>5.7725843995312385</c:v>
                </c:pt>
                <c:pt idx="42">
                  <c:v>6.0735255444347231</c:v>
                </c:pt>
                <c:pt idx="43">
                  <c:v>6.3818477242288223</c:v>
                </c:pt>
                <c:pt idx="44">
                  <c:v>6.6975496876189329</c:v>
                </c:pt>
                <c:pt idx="45">
                  <c:v>7.0206301400038562</c:v>
                </c:pt>
                <c:pt idx="46">
                  <c:v>7.3510877433126121</c:v>
                </c:pt>
                <c:pt idx="47">
                  <c:v>7.6889211158515343</c:v>
                </c:pt>
                <c:pt idx="48">
                  <c:v>8.0341288321609099</c:v>
                </c:pt>
                <c:pt idx="49">
                  <c:v>8.3867094228805055</c:v>
                </c:pt>
                <c:pt idx="50">
                  <c:v>8.7466613746234056</c:v>
                </c:pt>
                <c:pt idx="51">
                  <c:v>9.1139831298576066</c:v>
                </c:pt>
                <c:pt idx="52">
                  <c:v>9.4886730867949023</c:v>
                </c:pt>
                <c:pt idx="53">
                  <c:v>9.8707295992866264</c:v>
                </c:pt>
                <c:pt idx="54">
                  <c:v>10.260150976725839</c:v>
                </c:pt>
                <c:pt idx="55">
                  <c:v>10.656935483955612</c:v>
                </c:pt>
                <c:pt idx="56">
                  <c:v>11.061081341183083</c:v>
                </c:pt>
                <c:pt idx="57">
                  <c:v>11.472586723898967</c:v>
                </c:pt>
                <c:pt idx="58">
                  <c:v>11.891449762802267</c:v>
                </c:pt>
                <c:pt idx="59">
                  <c:v>12.317668543729919</c:v>
                </c:pt>
                <c:pt idx="60">
                  <c:v>12.75124110759115</c:v>
                </c:pt>
                <c:pt idx="61">
                  <c:v>13.192165450306328</c:v>
                </c:pt>
                <c:pt idx="62">
                  <c:v>13.640439522750121</c:v>
                </c:pt>
                <c:pt idx="63">
                  <c:v>14.096061230698771</c:v>
                </c:pt>
                <c:pt idx="64">
                  <c:v>14.559028434781331</c:v>
                </c:pt>
                <c:pt idx="65">
                  <c:v>15.029338950434694</c:v>
                </c:pt>
                <c:pt idx="66">
                  <c:v>15.506990547862298</c:v>
                </c:pt>
                <c:pt idx="67">
                  <c:v>15.991980951996343</c:v>
                </c:pt>
                <c:pt idx="68">
                  <c:v>16.484307842463426</c:v>
                </c:pt>
                <c:pt idx="69">
                  <c:v>16.983968853553467</c:v>
                </c:pt>
                <c:pt idx="70">
                  <c:v>17.490961574191811</c:v>
                </c:pt>
                <c:pt idx="71">
                  <c:v>18.005283547914438</c:v>
                </c:pt>
                <c:pt idx="72">
                  <c:v>18.526931927467697</c:v>
                </c:pt>
                <c:pt idx="73">
                  <c:v>19.055903128998132</c:v>
                </c:pt>
                <c:pt idx="74">
                  <c:v>19.592193176878151</c:v>
                </c:pt>
                <c:pt idx="75">
                  <c:v>20.135798048959781</c:v>
                </c:pt>
                <c:pt idx="76">
                  <c:v>20.686713676589061</c:v>
                </c:pt>
                <c:pt idx="77">
                  <c:v>21.244935944623151</c:v>
                </c:pt>
                <c:pt idx="78">
                  <c:v>21.810460691450068</c:v>
                </c:pt>
                <c:pt idx="79">
                  <c:v>22.383283709011014</c:v>
                </c:pt>
                <c:pt idx="80">
                  <c:v>22.963400742825222</c:v>
                </c:pt>
                <c:pt idx="81">
                  <c:v>23.550807492017253</c:v>
                </c:pt>
                <c:pt idx="82">
                  <c:v>24.145499609346725</c:v>
                </c:pt>
                <c:pt idx="83">
                  <c:v>24.747472701240397</c:v>
                </c:pt>
                <c:pt idx="84">
                  <c:v>25.356722327826567</c:v>
                </c:pt>
                <c:pt idx="85">
                  <c:v>25.973244002971747</c:v>
                </c:pt>
                <c:pt idx="86">
                  <c:v>26.597033194319565</c:v>
                </c:pt>
                <c:pt idx="87">
                  <c:v>27.228085323331861</c:v>
                </c:pt>
                <c:pt idx="88">
                  <c:v>27.866395765331944</c:v>
                </c:pt>
                <c:pt idx="89">
                  <c:v>28.51195984954995</c:v>
                </c:pt>
                <c:pt idx="90">
                  <c:v>29.164772859170281</c:v>
                </c:pt>
                <c:pt idx="91">
                  <c:v>29.824830031381126</c:v>
                </c:pt>
                <c:pt idx="92">
                  <c:v>30.492126557425955</c:v>
                </c:pt>
                <c:pt idx="93">
                  <c:v>31.166657582657045</c:v>
                </c:pt>
                <c:pt idx="94">
                  <c:v>31.848418206590928</c:v>
                </c:pt>
                <c:pt idx="95">
                  <c:v>32.537403482965807</c:v>
                </c:pt>
                <c:pt idx="96">
                  <c:v>33.233608419800838</c:v>
                </c:pt>
                <c:pt idx="97">
                  <c:v>33.937027979457348</c:v>
                </c:pt>
                <c:pt idx="98">
                  <c:v>34.647657078701855</c:v>
                </c:pt>
                <c:pt idx="99">
                  <c:v>35.365490588770953</c:v>
                </c:pt>
                <c:pt idx="100">
                  <c:v>36.090523335438</c:v>
                </c:pt>
                <c:pt idx="101">
                  <c:v>36.822750099081595</c:v>
                </c:pt>
                <c:pt idx="102">
                  <c:v>37.56216561475582</c:v>
                </c:pt>
                <c:pt idx="103">
                  <c:v>38.308764572262255</c:v>
                </c:pt>
                <c:pt idx="104">
                  <c:v>39.062541616223676</c:v>
                </c:pt>
                <c:pt idx="105">
                  <c:v>39.8234913461595</c:v>
                </c:pt>
                <c:pt idx="106">
                  <c:v>40.591608316562912</c:v>
                </c:pt>
                <c:pt idx="107">
                  <c:v>41.366887036979662</c:v>
                </c:pt>
                <c:pt idx="108">
                  <c:v>42.149321972088508</c:v>
                </c:pt>
                <c:pt idx="109">
                  <c:v>42.938907541783323</c:v>
                </c:pt>
                <c:pt idx="110">
                  <c:v>43.735638121256812</c:v>
                </c:pt>
                <c:pt idx="111">
                  <c:v>44.539508041085831</c:v>
                </c:pt>
                <c:pt idx="112">
                  <c:v>45.350511587318302</c:v>
                </c:pt>
                <c:pt idx="113">
                  <c:v>46.168643001561698</c:v>
                </c:pt>
                <c:pt idx="114">
                  <c:v>46.993896481073108</c:v>
                </c:pt>
                <c:pt idx="115">
                  <c:v>47.82626617885083</c:v>
                </c:pt>
                <c:pt idx="116">
                  <c:v>48.665746203727494</c:v>
                </c:pt>
                <c:pt idx="117">
                  <c:v>49.512330620464731</c:v>
                </c:pt>
                <c:pt idx="118">
                  <c:v>50.366013449849312</c:v>
                </c:pt>
                <c:pt idx="119">
                  <c:v>51.226788668790796</c:v>
                </c:pt>
                <c:pt idx="120">
                  <c:v>52.094650210420667</c:v>
                </c:pt>
                <c:pt idx="121">
                  <c:v>52.969591964192915</c:v>
                </c:pt>
                <c:pt idx="122">
                  <c:v>53.851607775986068</c:v>
                </c:pt>
                <c:pt idx="123">
                  <c:v>54.740691448206697</c:v>
                </c:pt>
                <c:pt idx="124">
                  <c:v>55.636836739894299</c:v>
                </c:pt>
                <c:pt idx="125">
                  <c:v>56.540037366827654</c:v>
                </c:pt>
                <c:pt idx="126">
                  <c:v>57.450287001632518</c:v>
                </c:pt>
                <c:pt idx="127">
                  <c:v>58.367579273890769</c:v>
                </c:pt>
                <c:pt idx="128">
                  <c:v>59.291907770250894</c:v>
                </c:pt>
                <c:pt idx="129">
                  <c:v>60.223264443511503</c:v>
                </c:pt>
                <c:pt idx="130">
                  <c:v>61.161638020386476</c:v>
                </c:pt>
                <c:pt idx="131">
                  <c:v>62.107015591355506</c:v>
                </c:pt>
                <c:pt idx="132">
                  <c:v>63.059384201899213</c:v>
                </c:pt>
                <c:pt idx="133">
                  <c:v>64.018730852743403</c:v>
                </c:pt>
                <c:pt idx="134">
                  <c:v>64.985042500104498</c:v>
                </c:pt>
                <c:pt idx="135">
                  <c:v>65.958306055936177</c:v>
                </c:pt>
                <c:pt idx="136">
                  <c:v>66.938508388177155</c:v>
                </c:pt>
                <c:pt idx="137">
                  <c:v>67.925636321000212</c:v>
                </c:pt>
                <c:pt idx="138">
                  <c:v>68.919676635062189</c:v>
                </c:pt>
                <c:pt idx="139">
                  <c:v>69.920616067755262</c:v>
                </c:pt>
                <c:pt idx="140">
                  <c:v>70.928441313459203</c:v>
                </c:pt>
                <c:pt idx="141">
                  <c:v>71.943139023794743</c:v>
                </c:pt>
                <c:pt idx="142">
                  <c:v>72.964695807877945</c:v>
                </c:pt>
                <c:pt idx="143">
                  <c:v>73.993098232575676</c:v>
                </c:pt>
                <c:pt idx="144">
                  <c:v>75.028332822762067</c:v>
                </c:pt>
                <c:pt idx="145">
                  <c:v>76.070386061575903</c:v>
                </c:pt>
                <c:pt idx="146">
                  <c:v>77.119244390679071</c:v>
                </c:pt>
                <c:pt idx="147">
                  <c:v>78.174894210515916</c:v>
                </c:pt>
                <c:pt idx="148">
                  <c:v>79.237321880573504</c:v>
                </c:pt>
                <c:pt idx="149">
                  <c:v>80.306513719642879</c:v>
                </c:pt>
                <c:pt idx="150">
                  <c:v>81.382456006081114</c:v>
                </c:pt>
                <c:pt idx="151">
                  <c:v>82.465134978074332</c:v>
                </c:pt>
                <c:pt idx="152">
                  <c:v>83.554536833901523</c:v>
                </c:pt>
                <c:pt idx="153">
                  <c:v>84.650647732199218</c:v>
                </c:pt>
                <c:pt idx="154">
                  <c:v>85.753453792226978</c:v>
                </c:pt>
                <c:pt idx="155">
                  <c:v>86.862941094133689</c:v>
                </c:pt>
                <c:pt idx="156">
                  <c:v>87.97909567922467</c:v>
                </c:pt>
                <c:pt idx="157">
                  <c:v>89.101903550229466</c:v>
                </c:pt>
                <c:pt idx="158">
                  <c:v>90.231350671570468</c:v>
                </c:pt>
                <c:pt idx="159">
                  <c:v>91.36742296963223</c:v>
                </c:pt>
                <c:pt idx="160">
                  <c:v>92.510106333031487</c:v>
                </c:pt>
                <c:pt idx="161">
                  <c:v>93.659386612887857</c:v>
                </c:pt>
                <c:pt idx="162">
                  <c:v>94.815249623095255</c:v>
                </c:pt>
                <c:pt idx="163">
                  <c:v>95.977681140593944</c:v>
                </c:pt>
                <c:pt idx="164">
                  <c:v>97.146666905643201</c:v>
                </c:pt>
                <c:pt idx="165">
                  <c:v>98.322192622094633</c:v>
                </c:pt>
                <c:pt idx="166">
                  <c:v>99.504243957666091</c:v>
                </c:pt>
                <c:pt idx="167">
                  <c:v>100.69280654421615</c:v>
                </c:pt>
                <c:pt idx="168">
                  <c:v>101.88786597801918</c:v>
                </c:pt>
                <c:pt idx="169">
                  <c:v>103.08940782004095</c:v>
                </c:pt>
                <c:pt idx="170">
                  <c:v>104.29741759621476</c:v>
                </c:pt>
                <c:pt idx="171">
                  <c:v>105.51188079771813</c:v>
                </c:pt>
                <c:pt idx="172">
                  <c:v>106.73278288124996</c:v>
                </c:pt>
                <c:pt idx="173">
                  <c:v>107.96010926930811</c:v>
                </c:pt>
                <c:pt idx="174">
                  <c:v>109.19384535046753</c:v>
                </c:pt>
                <c:pt idx="175">
                  <c:v>110.43397647965884</c:v>
                </c:pt>
                <c:pt idx="176">
                  <c:v>111.68048797844727</c:v>
                </c:pt>
                <c:pt idx="177">
                  <c:v>112.93336513531206</c:v>
                </c:pt>
                <c:pt idx="178">
                  <c:v>114.19259320592623</c:v>
                </c:pt>
                <c:pt idx="179">
                  <c:v>115.45815741343677</c:v>
                </c:pt>
                <c:pt idx="180">
                  <c:v>116.73004294874512</c:v>
                </c:pt>
                <c:pt idx="181">
                  <c:v>118.00823497078811</c:v>
                </c:pt>
                <c:pt idx="182">
                  <c:v>119.29271860681908</c:v>
                </c:pt>
                <c:pt idx="183">
                  <c:v>120.58347895268946</c:v>
                </c:pt>
                <c:pt idx="184">
                  <c:v>121.88050107313053</c:v>
                </c:pt>
                <c:pt idx="185">
                  <c:v>123.18377000203554</c:v>
                </c:pt>
                <c:pt idx="186">
                  <c:v>124.49327074274203</c:v>
                </c:pt>
                <c:pt idx="187">
                  <c:v>125.80898826831444</c:v>
                </c:pt>
                <c:pt idx="188">
                  <c:v>127.13090752182694</c:v>
                </c:pt>
                <c:pt idx="189">
                  <c:v>128.45901341664648</c:v>
                </c:pt>
                <c:pt idx="190">
                  <c:v>129.79329083671601</c:v>
                </c:pt>
                <c:pt idx="191">
                  <c:v>131.13372463683791</c:v>
                </c:pt>
                <c:pt idx="192">
                  <c:v>132.48029964295756</c:v>
                </c:pt>
                <c:pt idx="193">
                  <c:v>133.83300065244714</c:v>
                </c:pt>
                <c:pt idx="194">
                  <c:v>135.19181243438945</c:v>
                </c:pt>
                <c:pt idx="195">
                  <c:v>136.5567197298619</c:v>
                </c:pt>
                <c:pt idx="196">
                  <c:v>137.92770725222061</c:v>
                </c:pt>
                <c:pt idx="197">
                  <c:v>139.30475968738469</c:v>
                </c:pt>
                <c:pt idx="198">
                  <c:v>140.68786169412033</c:v>
                </c:pt>
                <c:pt idx="199">
                  <c:v>142.07699790432525</c:v>
                </c:pt>
                <c:pt idx="200">
                  <c:v>143.47215292331299</c:v>
                </c:pt>
                <c:pt idx="201">
                  <c:v>144.87331133009732</c:v>
                </c:pt>
                <c:pt idx="202">
                  <c:v>146.28045767767665</c:v>
                </c:pt>
                <c:pt idx="203">
                  <c:v>147.6935764933184</c:v>
                </c:pt>
                <c:pt idx="204">
                  <c:v>149.11265227884334</c:v>
                </c:pt>
                <c:pt idx="205">
                  <c:v>150.53766951090998</c:v>
                </c:pt>
                <c:pt idx="206">
                  <c:v>151.96861225358927</c:v>
                </c:pt>
                <c:pt idx="207">
                  <c:v>153.4054637708476</c:v>
                </c:pt>
                <c:pt idx="208">
                  <c:v>154.84820691466447</c:v>
                </c:pt>
                <c:pt idx="209">
                  <c:v>156.2968245132565</c:v>
                </c:pt>
                <c:pt idx="210">
                  <c:v>157.75129937139084</c:v>
                </c:pt>
                <c:pt idx="211">
                  <c:v>159.21161427069833</c:v>
                </c:pt>
                <c:pt idx="212">
                  <c:v>160.67775196998625</c:v>
                </c:pt>
                <c:pt idx="213">
                  <c:v>162.14969520555084</c:v>
                </c:pt>
                <c:pt idx="214">
                  <c:v>163.62742669148955</c:v>
                </c:pt>
                <c:pt idx="215">
                  <c:v>165.11092912001294</c:v>
                </c:pt>
                <c:pt idx="216">
                  <c:v>166.60018516175614</c:v>
                </c:pt>
                <c:pt idx="217">
                  <c:v>168.09517746609018</c:v>
                </c:pt>
                <c:pt idx="218">
                  <c:v>169.59588866143261</c:v>
                </c:pt>
                <c:pt idx="219">
                  <c:v>171.1023013555581</c:v>
                </c:pt>
                <c:pt idx="220">
                  <c:v>172.61439813590835</c:v>
                </c:pt>
                <c:pt idx="221">
                  <c:v>174.13216156990171</c:v>
                </c:pt>
                <c:pt idx="222">
                  <c:v>175.65557420524237</c:v>
                </c:pt>
                <c:pt idx="223">
                  <c:v>177.18461857022902</c:v>
                </c:pt>
                <c:pt idx="224">
                  <c:v>178.71927717406311</c:v>
                </c:pt>
                <c:pt idx="225">
                  <c:v>180.25953250715671</c:v>
                </c:pt>
                <c:pt idx="226">
                  <c:v>181.80536704143967</c:v>
                </c:pt>
                <c:pt idx="227">
                  <c:v>183.35676323066644</c:v>
                </c:pt>
                <c:pt idx="228">
                  <c:v>184.91370351072234</c:v>
                </c:pt>
                <c:pt idx="229">
                  <c:v>186.47617029992924</c:v>
                </c:pt>
                <c:pt idx="230">
                  <c:v>188.04414599935075</c:v>
                </c:pt>
                <c:pt idx="231">
                  <c:v>189.6176129930968</c:v>
                </c:pt>
                <c:pt idx="232">
                  <c:v>191.19655364862768</c:v>
                </c:pt>
                <c:pt idx="233">
                  <c:v>192.78095031705752</c:v>
                </c:pt>
                <c:pt idx="234">
                  <c:v>194.37078533345704</c:v>
                </c:pt>
                <c:pt idx="235">
                  <c:v>195.96604101715579</c:v>
                </c:pt>
                <c:pt idx="236">
                  <c:v>197.5666996720438</c:v>
                </c:pt>
                <c:pt idx="237">
                  <c:v>199.1727435868724</c:v>
                </c:pt>
                <c:pt idx="238">
                  <c:v>200.78415503555462</c:v>
                </c:pt>
                <c:pt idx="239">
                  <c:v>202.40091627746475</c:v>
                </c:pt>
                <c:pt idx="240">
                  <c:v>204.02300955773725</c:v>
                </c:pt>
                <c:pt idx="241">
                  <c:v>205.65041710756506</c:v>
                </c:pt>
                <c:pt idx="242">
                  <c:v>207.28311980396759</c:v>
                </c:pt>
                <c:pt idx="243">
                  <c:v>208.92109582960711</c:v>
                </c:pt>
                <c:pt idx="244">
                  <c:v>210.56432201472822</c:v>
                </c:pt>
                <c:pt idx="245">
                  <c:v>212.21277517909664</c:v>
                </c:pt>
                <c:pt idx="246">
                  <c:v>213.86643213239171</c:v>
                </c:pt>
                <c:pt idx="247">
                  <c:v>215.52526967459733</c:v>
                </c:pt>
                <c:pt idx="248">
                  <c:v>217.18926459639147</c:v>
                </c:pt>
                <c:pt idx="249">
                  <c:v>218.85839367953412</c:v>
                </c:pt>
                <c:pt idx="250">
                  <c:v>220.53263369725383</c:v>
                </c:pt>
                <c:pt idx="251">
                  <c:v>222.21196141463267</c:v>
                </c:pt>
                <c:pt idx="252">
                  <c:v>223.89635358898963</c:v>
                </c:pt>
                <c:pt idx="253">
                  <c:v>225.58578697026246</c:v>
                </c:pt>
                <c:pt idx="254">
                  <c:v>227.28023830138807</c:v>
                </c:pt>
                <c:pt idx="255">
                  <c:v>228.97968431868108</c:v>
                </c:pt>
                <c:pt idx="256">
                  <c:v>230.68410175221106</c:v>
                </c:pt>
                <c:pt idx="257">
                  <c:v>232.39346732617798</c:v>
                </c:pt>
                <c:pt idx="258">
                  <c:v>234.10775775928613</c:v>
                </c:pt>
                <c:pt idx="259">
                  <c:v>235.82694976511632</c:v>
                </c:pt>
                <c:pt idx="260">
                  <c:v>237.55102005249643</c:v>
                </c:pt>
                <c:pt idx="261">
                  <c:v>239.27994532587041</c:v>
                </c:pt>
                <c:pt idx="262">
                  <c:v>241.01370228566549</c:v>
                </c:pt>
                <c:pt idx="263">
                  <c:v>242.75226762865773</c:v>
                </c:pt>
                <c:pt idx="264">
                  <c:v>244.49561804833587</c:v>
                </c:pt>
                <c:pt idx="265">
                  <c:v>246.24373023526346</c:v>
                </c:pt>
                <c:pt idx="266">
                  <c:v>247.9965808774393</c:v>
                </c:pt>
                <c:pt idx="267">
                  <c:v>249.75414666065612</c:v>
                </c:pt>
                <c:pt idx="268">
                  <c:v>251.51640426885749</c:v>
                </c:pt>
                <c:pt idx="269">
                  <c:v>253.28333038449296</c:v>
                </c:pt>
                <c:pt idx="270">
                  <c:v>255.05490168887152</c:v>
                </c:pt>
                <c:pt idx="271">
                  <c:v>256.83109486251317</c:v>
                </c:pt>
                <c:pt idx="272">
                  <c:v>258.61188658549878</c:v>
                </c:pt>
                <c:pt idx="273">
                  <c:v>260.39725353781807</c:v>
                </c:pt>
                <c:pt idx="274">
                  <c:v>262.18717239971585</c:v>
                </c:pt>
                <c:pt idx="275">
                  <c:v>263.98161985203637</c:v>
                </c:pt>
                <c:pt idx="276">
                  <c:v>265.78057257656599</c:v>
                </c:pt>
                <c:pt idx="277">
                  <c:v>267.5840072563737</c:v>
                </c:pt>
                <c:pt idx="278">
                  <c:v>269.39190057615019</c:v>
                </c:pt>
                <c:pt idx="279">
                  <c:v>271.20422922254471</c:v>
                </c:pt>
                <c:pt idx="280">
                  <c:v>273.02096988450029</c:v>
                </c:pt>
                <c:pt idx="281">
                  <c:v>274.84209925358698</c:v>
                </c:pt>
                <c:pt idx="282">
                  <c:v>276.6675940243332</c:v>
                </c:pt>
                <c:pt idx="283">
                  <c:v>278.49743089455524</c:v>
                </c:pt>
                <c:pt idx="284">
                  <c:v>280.33158813983414</c:v>
                </c:pt>
                <c:pt idx="285">
                  <c:v>282.17004718740122</c:v>
                </c:pt>
                <c:pt idx="286">
                  <c:v>284.01279104004959</c:v>
                </c:pt>
                <c:pt idx="287">
                  <c:v>285.85980270058474</c:v>
                </c:pt>
                <c:pt idx="288">
                  <c:v>287.71106517204936</c:v>
                </c:pt>
                <c:pt idx="289">
                  <c:v>289.56656145794653</c:v>
                </c:pt>
                <c:pt idx="290">
                  <c:v>291.42627456246248</c:v>
                </c:pt>
                <c:pt idx="291">
                  <c:v>293.29018749068774</c:v>
                </c:pt>
                <c:pt idx="292">
                  <c:v>295.15828324883762</c:v>
                </c:pt>
                <c:pt idx="293">
                  <c:v>297.03054484447136</c:v>
                </c:pt>
                <c:pt idx="294">
                  <c:v>298.9069552867104</c:v>
                </c:pt>
                <c:pt idx="295">
                  <c:v>300.7874975864554</c:v>
                </c:pt>
                <c:pt idx="296">
                  <c:v>302.67215475660225</c:v>
                </c:pt>
                <c:pt idx="297">
                  <c:v>304.56090981225702</c:v>
                </c:pt>
                <c:pt idx="298">
                  <c:v>306.45374577094981</c:v>
                </c:pt>
                <c:pt idx="299">
                  <c:v>308.35064565284733</c:v>
                </c:pt>
                <c:pt idx="300">
                  <c:v>310.25159248096469</c:v>
                </c:pt>
                <c:pt idx="301">
                  <c:v>312.15656928137577</c:v>
                </c:pt>
                <c:pt idx="302">
                  <c:v>314.06555908342267</c:v>
                </c:pt>
                <c:pt idx="303">
                  <c:v>315.97854491992405</c:v>
                </c:pt>
                <c:pt idx="304">
                  <c:v>317.89550982738223</c:v>
                </c:pt>
                <c:pt idx="305">
                  <c:v>319.81643684618911</c:v>
                </c:pt>
                <c:pt idx="306">
                  <c:v>321.7413090208313</c:v>
                </c:pt>
                <c:pt idx="307">
                  <c:v>323.67010940009379</c:v>
                </c:pt>
                <c:pt idx="308">
                  <c:v>325.60282103726257</c:v>
                </c:pt>
                <c:pt idx="309">
                  <c:v>327.53942699032609</c:v>
                </c:pt>
                <c:pt idx="310">
                  <c:v>329.47991032217584</c:v>
                </c:pt>
                <c:pt idx="311">
                  <c:v>331.42425410080529</c:v>
                </c:pt>
                <c:pt idx="312">
                  <c:v>333.37244139950815</c:v>
                </c:pt>
                <c:pt idx="313">
                  <c:v>335.3244552970753</c:v>
                </c:pt>
                <c:pt idx="314">
                  <c:v>337.28027887799044</c:v>
                </c:pt>
                <c:pt idx="315">
                  <c:v>339.2398952326248</c:v>
                </c:pt>
                <c:pt idx="316">
                  <c:v>341.20328745743058</c:v>
                </c:pt>
                <c:pt idx="317">
                  <c:v>343.17043865513324</c:v>
                </c:pt>
                <c:pt idx="318">
                  <c:v>345.14133193492262</c:v>
                </c:pt>
                <c:pt idx="319">
                  <c:v>347.11595041264292</c:v>
                </c:pt>
                <c:pt idx="320">
                  <c:v>349.09427721098155</c:v>
                </c:pt>
                <c:pt idx="321">
                  <c:v>351.07629545965665</c:v>
                </c:pt>
                <c:pt idx="322">
                  <c:v>353.06198829560367</c:v>
                </c:pt>
                <c:pt idx="323">
                  <c:v>355.05133886316059</c:v>
                </c:pt>
                <c:pt idx="324">
                  <c:v>357.04433031425202</c:v>
                </c:pt>
                <c:pt idx="325">
                  <c:v>359.04094580857219</c:v>
                </c:pt>
                <c:pt idx="326">
                  <c:v>361.04116861047663</c:v>
                </c:pt>
                <c:pt idx="327">
                  <c:v>363.04498218581199</c:v>
                </c:pt>
                <c:pt idx="328">
                  <c:v>365.05237010520131</c:v>
                </c:pt>
                <c:pt idx="329">
                  <c:v>367.06331594738668</c:v>
                </c:pt>
                <c:pt idx="330">
                  <c:v>369.07780329940186</c:v>
                </c:pt>
                <c:pt idx="331">
                  <c:v>371.09581575674338</c:v>
                </c:pt>
                <c:pt idx="332">
                  <c:v>373.11733692354085</c:v>
                </c:pt>
                <c:pt idx="333">
                  <c:v>375.14235041272605</c:v>
                </c:pt>
                <c:pt idx="334">
                  <c:v>377.17083984620075</c:v>
                </c:pt>
                <c:pt idx="335">
                  <c:v>379.20278885500346</c:v>
                </c:pt>
                <c:pt idx="336">
                  <c:v>381.23818107947517</c:v>
                </c:pt>
                <c:pt idx="337">
                  <c:v>383.27700016942367</c:v>
                </c:pt>
                <c:pt idx="338">
                  <c:v>385.3192297842869</c:v>
                </c:pt>
                <c:pt idx="339">
                  <c:v>387.36485359329521</c:v>
                </c:pt>
                <c:pt idx="340">
                  <c:v>389.41385527563233</c:v>
                </c:pt>
                <c:pt idx="341">
                  <c:v>391.46621852059525</c:v>
                </c:pt>
                <c:pt idx="342">
                  <c:v>393.52192702775289</c:v>
                </c:pt>
                <c:pt idx="343">
                  <c:v>395.58096450710389</c:v>
                </c:pt>
                <c:pt idx="344">
                  <c:v>397.64331467923284</c:v>
                </c:pt>
                <c:pt idx="345">
                  <c:v>399.70896127546558</c:v>
                </c:pt>
                <c:pt idx="346">
                  <c:v>401.77788803802349</c:v>
                </c:pt>
                <c:pt idx="347">
                  <c:v>403.85007872017633</c:v>
                </c:pt>
                <c:pt idx="348">
                  <c:v>405.92551708639405</c:v>
                </c:pt>
                <c:pt idx="349">
                  <c:v>408.00418691249769</c:v>
                </c:pt>
                <c:pt idx="350">
                  <c:v>410.08607198580864</c:v>
                </c:pt>
                <c:pt idx="351">
                  <c:v>412.17115610529726</c:v>
                </c:pt>
                <c:pt idx="352">
                  <c:v>414.25942308172995</c:v>
                </c:pt>
                <c:pt idx="353">
                  <c:v>416.35085673781532</c:v>
                </c:pt>
                <c:pt idx="354">
                  <c:v>418.44544090834916</c:v>
                </c:pt>
                <c:pt idx="355">
                  <c:v>420.54315944035812</c:v>
                </c:pt>
                <c:pt idx="356">
                  <c:v>422.64399619324251</c:v>
                </c:pt>
                <c:pt idx="357">
                  <c:v>424.74793503891766</c:v>
                </c:pt>
                <c:pt idx="358">
                  <c:v>426.85495986195428</c:v>
                </c:pt>
                <c:pt idx="359">
                  <c:v>428.96505455971777</c:v>
                </c:pt>
                <c:pt idx="360">
                  <c:v>431.07820304250623</c:v>
                </c:pt>
                <c:pt idx="361">
                  <c:v>433.19438923368728</c:v>
                </c:pt>
                <c:pt idx="362">
                  <c:v>435.31359706983397</c:v>
                </c:pt>
                <c:pt idx="363">
                  <c:v>437.43581050085936</c:v>
                </c:pt>
                <c:pt idx="364">
                  <c:v>439.56101349014995</c:v>
                </c:pt>
                <c:pt idx="365">
                  <c:v>441.68919001469817</c:v>
                </c:pt>
                <c:pt idx="366">
                  <c:v>443.82032651690008</c:v>
                </c:pt>
                <c:pt idx="367">
                  <c:v>445.9544143542808</c:v>
                </c:pt>
                <c:pt idx="368">
                  <c:v>448.09144734234013</c:v>
                </c:pt>
                <c:pt idx="369">
                  <c:v>450.23141929942938</c:v>
                </c:pt>
                <c:pt idx="370">
                  <c:v>452.37432404679964</c:v>
                </c:pt>
                <c:pt idx="371">
                  <c:v>454.52015540865023</c:v>
                </c:pt>
                <c:pt idx="372">
                  <c:v>456.66890721217612</c:v>
                </c:pt>
                <c:pt idx="373">
                  <c:v>458.82057328761607</c:v>
                </c:pt>
                <c:pt idx="374">
                  <c:v>460.97514746829972</c:v>
                </c:pt>
                <c:pt idx="375">
                  <c:v>463.13262359069512</c:v>
                </c:pt>
                <c:pt idx="376">
                  <c:v>465.29299549445534</c:v>
                </c:pt>
                <c:pt idx="377">
                  <c:v>467.45625702246565</c:v>
                </c:pt>
                <c:pt idx="378">
                  <c:v>469.62240202088964</c:v>
                </c:pt>
                <c:pt idx="379">
                  <c:v>471.79142433921578</c:v>
                </c:pt>
                <c:pt idx="380">
                  <c:v>473.96331783030342</c:v>
                </c:pt>
                <c:pt idx="381">
                  <c:v>476.13807370435325</c:v>
                </c:pt>
                <c:pt idx="382">
                  <c:v>478.31567788523876</c:v>
                </c:pt>
                <c:pt idx="383">
                  <c:v>480.49611366293766</c:v>
                </c:pt>
                <c:pt idx="384">
                  <c:v>482.67936434364276</c:v>
                </c:pt>
                <c:pt idx="385">
                  <c:v>484.86541324988849</c:v>
                </c:pt>
                <c:pt idx="386">
                  <c:v>487.05424372067574</c:v>
                </c:pt>
                <c:pt idx="387">
                  <c:v>489.2458391115959</c:v>
                </c:pt>
                <c:pt idx="388">
                  <c:v>491.44018279495344</c:v>
                </c:pt>
                <c:pt idx="389">
                  <c:v>493.63725815988727</c:v>
                </c:pt>
                <c:pt idx="390">
                  <c:v>495.83704861249106</c:v>
                </c:pt>
                <c:pt idx="391">
                  <c:v>498.039537575932</c:v>
                </c:pt>
                <c:pt idx="392">
                  <c:v>500.24470849056877</c:v>
                </c:pt>
                <c:pt idx="393">
                  <c:v>502.45254481406795</c:v>
                </c:pt>
                <c:pt idx="394">
                  <c:v>504.66303002151932</c:v>
                </c:pt>
                <c:pt idx="395">
                  <c:v>506.8761476055501</c:v>
                </c:pt>
                <c:pt idx="396">
                  <c:v>509.09188107643769</c:v>
                </c:pt>
                <c:pt idx="397">
                  <c:v>511.31021396222144</c:v>
                </c:pt>
                <c:pt idx="398">
                  <c:v>513.53112980881315</c:v>
                </c:pt>
                <c:pt idx="399">
                  <c:v>515.75461218010639</c:v>
                </c:pt>
                <c:pt idx="400">
                  <c:v>517.98064465808443</c:v>
                </c:pt>
                <c:pt idx="401">
                  <c:v>520.2092087661365</c:v>
                </c:pt>
                <c:pt idx="402">
                  <c:v>522.44028189444498</c:v>
                </c:pt>
                <c:pt idx="403">
                  <c:v>524.67383938222872</c:v>
                </c:pt>
                <c:pt idx="404">
                  <c:v>526.90985659795012</c:v>
                </c:pt>
                <c:pt idx="405">
                  <c:v>529.14830893949386</c:v>
                </c:pt>
                <c:pt idx="406">
                  <c:v>531.38917183434364</c:v>
                </c:pt>
                <c:pt idx="407">
                  <c:v>533.63242073975573</c:v>
                </c:pt>
                <c:pt idx="408">
                  <c:v>535.87803114293081</c:v>
                </c:pt>
                <c:pt idx="409">
                  <c:v>538.12597856118293</c:v>
                </c:pt>
                <c:pt idx="410">
                  <c:v>540.37623854210631</c:v>
                </c:pt>
                <c:pt idx="411">
                  <c:v>542.6287752020155</c:v>
                </c:pt>
                <c:pt idx="412">
                  <c:v>544.88352977670661</c:v>
                </c:pt>
                <c:pt idx="413">
                  <c:v>547.14043211444096</c:v>
                </c:pt>
                <c:pt idx="414">
                  <c:v>549.39941215697843</c:v>
                </c:pt>
                <c:pt idx="415">
                  <c:v>551.66039994047514</c:v>
                </c:pt>
                <c:pt idx="416">
                  <c:v>553.92332559636418</c:v>
                </c:pt>
                <c:pt idx="417">
                  <c:v>556.18811935221856</c:v>
                </c:pt>
                <c:pt idx="418">
                  <c:v>558.45471153259757</c:v>
                </c:pt>
                <c:pt idx="419">
                  <c:v>560.72303255987617</c:v>
                </c:pt>
                <c:pt idx="420">
                  <c:v>562.99300644196364</c:v>
                </c:pt>
                <c:pt idx="421">
                  <c:v>565.26454426800922</c:v>
                </c:pt>
                <c:pt idx="422">
                  <c:v>567.53755074158664</c:v>
                </c:pt>
                <c:pt idx="423">
                  <c:v>569.81193070618247</c:v>
                </c:pt>
                <c:pt idx="424">
                  <c:v>572.08758914657881</c:v>
                </c:pt>
                <c:pt idx="425">
                  <c:v>574.36443119020589</c:v>
                </c:pt>
                <c:pt idx="426">
                  <c:v>576.64236210846286</c:v>
                </c:pt>
                <c:pt idx="427">
                  <c:v>578.92128731800824</c:v>
                </c:pt>
                <c:pt idx="428">
                  <c:v>581.20111238201969</c:v>
                </c:pt>
                <c:pt idx="429">
                  <c:v>583.48174301142319</c:v>
                </c:pt>
                <c:pt idx="430">
                  <c:v>585.763085066092</c:v>
                </c:pt>
                <c:pt idx="431">
                  <c:v>588.045044556015</c:v>
                </c:pt>
                <c:pt idx="432">
                  <c:v>590.32751716070004</c:v>
                </c:pt>
                <c:pt idx="433">
                  <c:v>592.61037776405658</c:v>
                </c:pt>
                <c:pt idx="434">
                  <c:v>594.89349097239676</c:v>
                </c:pt>
                <c:pt idx="435">
                  <c:v>597.17672161754399</c:v>
                </c:pt>
                <c:pt idx="436">
                  <c:v>599.4599347591294</c:v>
                </c:pt>
                <c:pt idx="437">
                  <c:v>601.74299568682784</c:v>
                </c:pt>
                <c:pt idx="438">
                  <c:v>604.02576992253137</c:v>
                </c:pt>
                <c:pt idx="439">
                  <c:v>606.30812322246231</c:v>
                </c:pt>
                <c:pt idx="440">
                  <c:v>608.58992157922535</c:v>
                </c:pt>
                <c:pt idx="441">
                  <c:v>610.87103122379892</c:v>
                </c:pt>
                <c:pt idx="442">
                  <c:v>613.15132498781202</c:v>
                </c:pt>
                <c:pt idx="443">
                  <c:v>615.43068865462124</c:v>
                </c:pt>
                <c:pt idx="444">
                  <c:v>617.70901457686625</c:v>
                </c:pt>
                <c:pt idx="445">
                  <c:v>619.98619530474139</c:v>
                </c:pt>
                <c:pt idx="446">
                  <c:v>622.26212358697194</c:v>
                </c:pt>
                <c:pt idx="447">
                  <c:v>624.53669237175325</c:v>
                </c:pt>
                <c:pt idx="448">
                  <c:v>626.80979480765188</c:v>
                </c:pt>
                <c:pt idx="449">
                  <c:v>629.08132424447012</c:v>
                </c:pt>
                <c:pt idx="450">
                  <c:v>631.35117423407337</c:v>
                </c:pt>
                <c:pt idx="451">
                  <c:v>633.61923853118117</c:v>
                </c:pt>
                <c:pt idx="452">
                  <c:v>635.88541109412165</c:v>
                </c:pt>
                <c:pt idx="453">
                  <c:v>638.14959518684691</c:v>
                </c:pt>
                <c:pt idx="454">
                  <c:v>640.41171246305953</c:v>
                </c:pt>
                <c:pt idx="455">
                  <c:v>642.67169382873624</c:v>
                </c:pt>
                <c:pt idx="456">
                  <c:v>644.92947032218603</c:v>
                </c:pt>
                <c:pt idx="457">
                  <c:v>647.184973114071</c:v>
                </c:pt>
                <c:pt idx="458">
                  <c:v>649.4381335074138</c:v>
                </c:pt>
                <c:pt idx="459">
                  <c:v>651.68888293759164</c:v>
                </c:pt>
                <c:pt idx="460">
                  <c:v>653.93715297231597</c:v>
                </c:pt>
                <c:pt idx="461">
                  <c:v>656.18288349912018</c:v>
                </c:pt>
                <c:pt idx="462">
                  <c:v>658.42603089610441</c:v>
                </c:pt>
                <c:pt idx="463">
                  <c:v>660.66655981045096</c:v>
                </c:pt>
                <c:pt idx="464">
                  <c:v>662.90443495359671</c:v>
                </c:pt>
                <c:pt idx="465">
                  <c:v>665.13962110103375</c:v>
                </c:pt>
                <c:pt idx="466">
                  <c:v>667.37207621505695</c:v>
                </c:pt>
                <c:pt idx="467">
                  <c:v>669.60174458173196</c:v>
                </c:pt>
                <c:pt idx="468">
                  <c:v>671.82848713566216</c:v>
                </c:pt>
                <c:pt idx="469">
                  <c:v>674.05210564849745</c:v>
                </c:pt>
                <c:pt idx="470">
                  <c:v>676.27251314894659</c:v>
                </c:pt>
                <c:pt idx="471">
                  <c:v>678.48971655191758</c:v>
                </c:pt>
                <c:pt idx="472">
                  <c:v>680.70372274557872</c:v>
                </c:pt>
                <c:pt idx="473">
                  <c:v>682.91453859149578</c:v>
                </c:pt>
                <c:pt idx="474">
                  <c:v>685.12217092476874</c:v>
                </c:pt>
                <c:pt idx="475">
                  <c:v>687.32662655416743</c:v>
                </c:pt>
                <c:pt idx="476">
                  <c:v>689.52791226226657</c:v>
                </c:pt>
                <c:pt idx="477">
                  <c:v>691.7260348055795</c:v>
                </c:pt>
                <c:pt idx="478">
                  <c:v>693.92100091469138</c:v>
                </c:pt>
                <c:pt idx="479">
                  <c:v>696.11281729439133</c:v>
                </c:pt>
                <c:pt idx="480">
                  <c:v>698.30149062380406</c:v>
                </c:pt>
                <c:pt idx="481">
                  <c:v>700.48702755652027</c:v>
                </c:pt>
                <c:pt idx="482">
                  <c:v>702.66943472072626</c:v>
                </c:pt>
                <c:pt idx="483">
                  <c:v>704.84871871933308</c:v>
                </c:pt>
                <c:pt idx="484">
                  <c:v>707.02488613010428</c:v>
                </c:pt>
                <c:pt idx="485">
                  <c:v>709.19794350578343</c:v>
                </c:pt>
                <c:pt idx="486">
                  <c:v>711.36789737422043</c:v>
                </c:pt>
                <c:pt idx="487">
                  <c:v>713.53475423849693</c:v>
                </c:pt>
                <c:pt idx="488">
                  <c:v>715.69852057705145</c:v>
                </c:pt>
                <c:pt idx="489">
                  <c:v>717.85920284380336</c:v>
                </c:pt>
                <c:pt idx="490">
                  <c:v>720.01680746827606</c:v>
                </c:pt>
                <c:pt idx="491">
                  <c:v>722.17134085571922</c:v>
                </c:pt>
                <c:pt idx="492">
                  <c:v>724.3228093872309</c:v>
                </c:pt>
                <c:pt idx="493">
                  <c:v>726.47121941987803</c:v>
                </c:pt>
                <c:pt idx="494">
                  <c:v>728.61657728681701</c:v>
                </c:pt>
                <c:pt idx="495">
                  <c:v>730.75888929741257</c:v>
                </c:pt>
                <c:pt idx="496">
                  <c:v>732.89816173735687</c:v>
                </c:pt>
                <c:pt idx="497">
                  <c:v>735.0344008687872</c:v>
                </c:pt>
                <c:pt idx="498">
                  <c:v>737.16761293040304</c:v>
                </c:pt>
                <c:pt idx="499">
                  <c:v>739.29780413758272</c:v>
                </c:pt>
                <c:pt idx="500">
                  <c:v>741.42498068249881</c:v>
                </c:pt>
                <c:pt idx="501">
                  <c:v>762.5314175518929</c:v>
                </c:pt>
                <c:pt idx="502">
                  <c:v>783.34035523028626</c:v>
                </c:pt>
                <c:pt idx="503">
                  <c:v>803.85776686631493</c:v>
                </c:pt>
                <c:pt idx="504">
                  <c:v>824.08940826616481</c:v>
                </c:pt>
                <c:pt idx="505">
                  <c:v>844.04082828304308</c:v>
                </c:pt>
                <c:pt idx="506">
                  <c:v>863.71737858532322</c:v>
                </c:pt>
                <c:pt idx="507">
                  <c:v>883.12422284765353</c:v>
                </c:pt>
                <c:pt idx="508">
                  <c:v>902.26634540565976</c:v>
                </c:pt>
                <c:pt idx="509">
                  <c:v>921.14855941155929</c:v>
                </c:pt>
                <c:pt idx="510">
                  <c:v>939.77551452499688</c:v>
                </c:pt>
                <c:pt idx="511">
                  <c:v>958.15170417067918</c:v>
                </c:pt>
                <c:pt idx="512">
                  <c:v>976.28147239189741</c:v>
                </c:pt>
                <c:pt idx="513">
                  <c:v>994.16902032676592</c:v>
                </c:pt>
                <c:pt idx="514">
                  <c:v>1011.8184123319377</c:v>
                </c:pt>
                <c:pt idx="515">
                  <c:v>1029.2335817766752</c:v>
                </c:pt>
                <c:pt idx="516">
                  <c:v>1046.4183365284323</c:v>
                </c:pt>
                <c:pt idx="517">
                  <c:v>1063.3763641495286</c:v>
                </c:pt>
                <c:pt idx="518">
                  <c:v>1080.1112368230565</c:v>
                </c:pt>
                <c:pt idx="519">
                  <c:v>1096.6264160248397</c:v>
                </c:pt>
                <c:pt idx="520">
                  <c:v>1112.9252569570478</c:v>
                </c:pt>
                <c:pt idx="521">
                  <c:v>1129.0110127579637</c:v>
                </c:pt>
                <c:pt idx="522">
                  <c:v>1144.8868385013704</c:v>
                </c:pt>
                <c:pt idx="523">
                  <c:v>1160.5557949980912</c:v>
                </c:pt>
                <c:pt idx="524">
                  <c:v>1176.0208524113418</c:v>
                </c:pt>
                <c:pt idx="525">
                  <c:v>1191.2848936967639</c:v>
                </c:pt>
                <c:pt idx="526">
                  <c:v>1206.350717877265</c:v>
                </c:pt>
                <c:pt idx="527">
                  <c:v>1221.2210431621158</c:v>
                </c:pt>
                <c:pt idx="528">
                  <c:v>1235.8985099191257</c:v>
                </c:pt>
                <c:pt idx="529">
                  <c:v>1250.3856835081356</c:v>
                </c:pt>
                <c:pt idx="530">
                  <c:v>1264.6850569835328</c:v>
                </c:pt>
                <c:pt idx="531">
                  <c:v>1278.799053672994</c:v>
                </c:pt>
                <c:pt idx="532">
                  <c:v>1292.7300296392</c:v>
                </c:pt>
                <c:pt idx="533">
                  <c:v>1306.4802760308417</c:v>
                </c:pt>
                <c:pt idx="534">
                  <c:v>1320.052021328836</c:v>
                </c:pt>
                <c:pt idx="535">
                  <c:v>1333.4474334933066</c:v>
                </c:pt>
                <c:pt idx="536">
                  <c:v>1346.6686220165382</c:v>
                </c:pt>
                <c:pt idx="537">
                  <c:v>1359.7176398867969</c:v>
                </c:pt>
                <c:pt idx="538">
                  <c:v>1372.5964854676113</c:v>
                </c:pt>
                <c:pt idx="539">
                  <c:v>1385.3071042968345</c:v>
                </c:pt>
                <c:pt idx="540">
                  <c:v>1397.8513908095504</c:v>
                </c:pt>
                <c:pt idx="541">
                  <c:v>1410.2311899886449</c:v>
                </c:pt>
                <c:pt idx="542">
                  <c:v>1422.4482989466444</c:v>
                </c:pt>
                <c:pt idx="543">
                  <c:v>1434.5044684422076</c:v>
                </c:pt>
                <c:pt idx="544">
                  <c:v>1446.4014043344707</c:v>
                </c:pt>
                <c:pt idx="545">
                  <c:v>1458.1407689782561</c:v>
                </c:pt>
                <c:pt idx="546">
                  <c:v>1469.7241825629878</c:v>
                </c:pt>
                <c:pt idx="547">
                  <c:v>1481.1532243979964</c:v>
                </c:pt>
                <c:pt idx="548">
                  <c:v>1492.4294341467482</c:v>
                </c:pt>
                <c:pt idx="549">
                  <c:v>1503.5543130123924</c:v>
                </c:pt>
                <c:pt idx="550">
                  <c:v>1514.5293248768867</c:v>
                </c:pt>
                <c:pt idx="551">
                  <c:v>1525.3558973958441</c:v>
                </c:pt>
                <c:pt idx="552">
                  <c:v>1536.0354230511227</c:v>
                </c:pt>
                <c:pt idx="553">
                  <c:v>1546.5692601630769</c:v>
                </c:pt>
                <c:pt idx="554">
                  <c:v>1556.9587338642805</c:v>
                </c:pt>
                <c:pt idx="555">
                  <c:v>1567.2051370364443</c:v>
                </c:pt>
                <c:pt idx="556">
                  <c:v>1577.3097312121552</c:v>
                </c:pt>
                <c:pt idx="557">
                  <c:v>1587.2737474429789</c:v>
                </c:pt>
                <c:pt idx="558">
                  <c:v>1597.0983871353951</c:v>
                </c:pt>
                <c:pt idx="559">
                  <c:v>1606.7848228559496</c:v>
                </c:pt>
                <c:pt idx="560">
                  <c:v>1616.3341991069478</c:v>
                </c:pt>
                <c:pt idx="561">
                  <c:v>1625.7476330739371</c:v>
                </c:pt>
                <c:pt idx="562">
                  <c:v>1635.0262153461711</c:v>
                </c:pt>
                <c:pt idx="563">
                  <c:v>1644.1710106111857</c:v>
                </c:pt>
                <c:pt idx="564">
                  <c:v>1653.183058324561</c:v>
                </c:pt>
                <c:pt idx="565">
                  <c:v>1662.0633733558916</c:v>
                </c:pt>
                <c:pt idx="566">
                  <c:v>1670.812946611939</c:v>
                </c:pt>
                <c:pt idx="567">
                  <c:v>1679.432745637888</c:v>
                </c:pt>
                <c:pt idx="568">
                  <c:v>1687.9237151975933</c:v>
                </c:pt>
                <c:pt idx="569">
                  <c:v>1696.286777833649</c:v>
                </c:pt>
                <c:pt idx="570">
                  <c:v>1704.5228344080858</c:v>
                </c:pt>
                <c:pt idx="571">
                  <c:v>1712.6327646244538</c:v>
                </c:pt>
                <c:pt idx="572">
                  <c:v>1720.6174275320179</c:v>
                </c:pt>
                <c:pt idx="573">
                  <c:v>1728.4776620127593</c:v>
                </c:pt>
                <c:pt idx="574">
                  <c:v>1736.2142872518409</c:v>
                </c:pt>
                <c:pt idx="575">
                  <c:v>1743.8281031921688</c:v>
                </c:pt>
                <c:pt idx="576">
                  <c:v>1751.3198909736502</c:v>
                </c:pt>
                <c:pt idx="577">
                  <c:v>1758.6904133577229</c:v>
                </c:pt>
                <c:pt idx="578">
                  <c:v>1765.940415137703</c:v>
                </c:pt>
                <c:pt idx="579">
                  <c:v>1773.0706235354762</c:v>
                </c:pt>
                <c:pt idx="580">
                  <c:v>1780.0817485850339</c:v>
                </c:pt>
                <c:pt idx="581">
                  <c:v>1786.9744835033307</c:v>
                </c:pt>
                <c:pt idx="582">
                  <c:v>1793.7495050489238</c:v>
                </c:pt>
                <c:pt idx="583">
                  <c:v>1800.4074738688296</c:v>
                </c:pt>
                <c:pt idx="584">
                  <c:v>1806.9490348340194</c:v>
                </c:pt>
                <c:pt idx="585">
                  <c:v>1813.3748173639531</c:v>
                </c:pt>
                <c:pt idx="586">
                  <c:v>1819.6854357405368</c:v>
                </c:pt>
                <c:pt idx="587">
                  <c:v>1825.881489411873</c:v>
                </c:pt>
                <c:pt idx="588">
                  <c:v>1831.9635632861537</c:v>
                </c:pt>
                <c:pt idx="589">
                  <c:v>1837.9322280160384</c:v>
                </c:pt>
                <c:pt idx="590">
                  <c:v>1843.7880402738401</c:v>
                </c:pt>
                <c:pt idx="591">
                  <c:v>1849.5315430178309</c:v>
                </c:pt>
                <c:pt idx="592">
                  <c:v>1855.1632657499686</c:v>
                </c:pt>
                <c:pt idx="593">
                  <c:v>1860.6837247653298</c:v>
                </c:pt>
                <c:pt idx="594">
                  <c:v>1866.0934233935295</c:v>
                </c:pt>
                <c:pt idx="595">
                  <c:v>1871.3928522323918</c:v>
                </c:pt>
                <c:pt idx="596">
                  <c:v>1876.5824893741308</c:v>
                </c:pt>
                <c:pt idx="597">
                  <c:v>1881.6628006242888</c:v>
                </c:pt>
                <c:pt idx="598">
                  <c:v>1886.6342397136732</c:v>
                </c:pt>
                <c:pt idx="599">
                  <c:v>1891.4972485035221</c:v>
                </c:pt>
                <c:pt idx="600">
                  <c:v>1896.2522571841278</c:v>
                </c:pt>
                <c:pt idx="601">
                  <c:v>1900.8996844671333</c:v>
                </c:pt>
                <c:pt idx="602">
                  <c:v>1905.4399377717175</c:v>
                </c:pt>
                <c:pt idx="603">
                  <c:v>1909.8734134048777</c:v>
                </c:pt>
                <c:pt idx="604">
                  <c:v>1914.2004967360126</c:v>
                </c:pt>
                <c:pt idx="605">
                  <c:v>1918.4215623660075</c:v>
                </c:pt>
                <c:pt idx="606">
                  <c:v>1922.5369742910223</c:v>
                </c:pt>
                <c:pt idx="607">
                  <c:v>1926.5470860611765</c:v>
                </c:pt>
                <c:pt idx="608">
                  <c:v>1930.4522409343335</c:v>
                </c:pt>
                <c:pt idx="609">
                  <c:v>1934.2527720251778</c:v>
                </c:pt>
                <c:pt idx="610">
                  <c:v>1937.9490024497907</c:v>
                </c:pt>
                <c:pt idx="611">
                  <c:v>1941.5412454659286</c:v>
                </c:pt>
                <c:pt idx="612">
                  <c:v>1945.0298046092155</c:v>
                </c:pt>
                <c:pt idx="613">
                  <c:v>1948.4149738254721</c:v>
                </c:pt>
                <c:pt idx="614">
                  <c:v>1951.6970375994108</c:v>
                </c:pt>
                <c:pt idx="615">
                  <c:v>1954.8762710799454</c:v>
                </c:pt>
                <c:pt idx="616">
                  <c:v>1957.9529402023777</c:v>
                </c:pt>
                <c:pt idx="617">
                  <c:v>1960.9273018077486</c:v>
                </c:pt>
                <c:pt idx="618">
                  <c:v>1963.7996037596663</c:v>
                </c:pt>
                <c:pt idx="619">
                  <c:v>1966.5700850589594</c:v>
                </c:pt>
                <c:pt idx="620">
                  <c:v>1969.2389759565431</c:v>
                </c:pt>
                <c:pt idx="621">
                  <c:v>1971.8064980649344</c:v>
                </c:pt>
                <c:pt idx="622">
                  <c:v>1974.2728644689148</c:v>
                </c:pt>
                <c:pt idx="623">
                  <c:v>1976.6382798359068</c:v>
                </c:pt>
                <c:pt idx="624">
                  <c:v>1978.9029405267204</c:v>
                </c:pt>
                <c:pt idx="625">
                  <c:v>1981.0670347074251</c:v>
                </c:pt>
                <c:pt idx="626">
                  <c:v>1983.1307424632312</c:v>
                </c:pt>
                <c:pt idx="627">
                  <c:v>1985.0942359154024</c:v>
                </c:pt>
                <c:pt idx="628">
                  <c:v>1986.9576793424046</c:v>
                </c:pt>
                <c:pt idx="629">
                  <c:v>1988.7212293066896</c:v>
                </c:pt>
                <c:pt idx="630">
                  <c:v>1990.3850347887535</c:v>
                </c:pt>
                <c:pt idx="631">
                  <c:v>1991.9492373303838</c:v>
                </c:pt>
                <c:pt idx="632">
                  <c:v>1993.4139711893115</c:v>
                </c:pt>
                <c:pt idx="633">
                  <c:v>1994.7793635078344</c:v>
                </c:pt>
                <c:pt idx="634">
                  <c:v>1996.0455344983454</c:v>
                </c:pt>
                <c:pt idx="635">
                  <c:v>1997.2125976490854</c:v>
                </c:pt>
                <c:pt idx="636">
                  <c:v>1998.2806599538203</c:v>
                </c:pt>
                <c:pt idx="637">
                  <c:v>1999.2498221694757</c:v>
                </c:pt>
                <c:pt idx="638">
                  <c:v>2000.1201791060057</c:v>
                </c:pt>
                <c:pt idx="639">
                  <c:v>2000.8918199528578</c:v>
                </c:pt>
                <c:pt idx="640">
                  <c:v>2001.5648286462399</c:v>
                </c:pt>
                <c:pt idx="641">
                  <c:v>2002.1392842809096</c:v>
                </c:pt>
                <c:pt idx="642">
                  <c:v>2002.615261569302</c:v>
                </c:pt>
                <c:pt idx="643">
                  <c:v>2002.9928313494229</c:v>
                </c:pt>
                <c:pt idx="644">
                  <c:v>2003.272061141043</c:v>
                </c:pt>
                <c:pt idx="645">
                  <c:v>2003.4530157473921</c:v>
                </c:pt>
                <c:pt idx="646">
                  <c:v>2003.535757896926</c:v>
                </c:pt>
                <c:pt idx="647">
                  <c:v>2003.5203489170669</c:v>
                </c:pt>
                <c:pt idx="648">
                  <c:v>2003.4068494294199</c:v>
                </c:pt>
                <c:pt idx="649">
                  <c:v>2003.19532005418</c:v>
                </c:pt>
                <c:pt idx="650">
                  <c:v>2002.8858221105345</c:v>
                </c:pt>
                <c:pt idx="651">
                  <c:v>2002.4784182999831</c:v>
                </c:pt>
                <c:pt idx="652">
                  <c:v>2001.9731733606257</c:v>
                </c:pt>
                <c:pt idx="653">
                  <c:v>2001.3701546824275</c:v>
                </c:pt>
                <c:pt idx="654">
                  <c:v>2000.6694328759665</c:v>
                </c:pt>
                <c:pt idx="655">
                  <c:v>1999.8710822898593</c:v>
                </c:pt>
                <c:pt idx="656">
                  <c:v>1998.9751814746569</c:v>
                </c:pt>
                <c:pt idx="657">
                  <c:v>1997.981813593248</c:v>
                </c:pt>
                <c:pt idx="658">
                  <c:v>1996.8910667795931</c:v>
                </c:pt>
                <c:pt idx="659">
                  <c:v>1995.703034448888</c:v>
                </c:pt>
                <c:pt idx="660">
                  <c:v>1994.4178155630543</c:v>
                </c:pt>
                <c:pt idx="661">
                  <c:v>1993.0355148558504</c:v>
                </c:pt>
                <c:pt idx="662">
                  <c:v>1991.5562430219852</c:v>
                </c:pt>
                <c:pt idx="663">
                  <c:v>1989.9801168744748</c:v>
                </c:pt>
                <c:pt idx="664">
                  <c:v>1988.3072594742109</c:v>
                </c:pt>
                <c:pt idx="665">
                  <c:v>1986.5378002353468</c:v>
                </c:pt>
                <c:pt idx="666">
                  <c:v>1984.6718750097193</c:v>
                </c:pt>
                <c:pt idx="667">
                  <c:v>1982.7096261531346</c:v>
                </c:pt>
                <c:pt idx="668">
                  <c:v>1980.6512025759723</c:v>
                </c:pt>
                <c:pt idx="669">
                  <c:v>1978.4967597802211</c:v>
                </c:pt>
                <c:pt idx="670">
                  <c:v>1976.2464598847562</c:v>
                </c:pt>
                <c:pt idx="671">
                  <c:v>1973.9004716404002</c:v>
                </c:pt>
                <c:pt idx="672">
                  <c:v>1971.4589704360742</c:v>
                </c:pt>
                <c:pt idx="673">
                  <c:v>1968.9221382971534</c:v>
                </c:pt>
                <c:pt idx="674">
                  <c:v>1966.290163876964</c:v>
                </c:pt>
                <c:pt idx="675">
                  <c:v>1963.5632424422213</c:v>
                </c:pt>
                <c:pt idx="676">
                  <c:v>1960.7415758530863</c:v>
                </c:pt>
                <c:pt idx="677">
                  <c:v>1957.8253725384145</c:v>
                </c:pt>
                <c:pt idx="678">
                  <c:v>1954.8148474666878</c:v>
                </c:pt>
                <c:pt idx="679">
                  <c:v>1951.7102221130463</c:v>
                </c:pt>
                <c:pt idx="680">
                  <c:v>1948.5117244227822</c:v>
                </c:pt>
                <c:pt idx="681">
                  <c:v>1945.2195887715998</c:v>
                </c:pt>
                <c:pt idx="682">
                  <c:v>1941.8340559229105</c:v>
                </c:pt>
                <c:pt idx="683">
                  <c:v>1938.3553729823936</c:v>
                </c:pt>
                <c:pt idx="684">
                  <c:v>1934.7837933500227</c:v>
                </c:pt>
                <c:pt idx="685">
                  <c:v>1931.119576669736</c:v>
                </c:pt>
                <c:pt idx="686">
                  <c:v>1927.3629887769039</c:v>
                </c:pt>
                <c:pt idx="687">
                  <c:v>1923.514301643733</c:v>
                </c:pt>
                <c:pt idx="688">
                  <c:v>1919.5737933227285</c:v>
                </c:pt>
                <c:pt idx="689">
                  <c:v>1915.5417478883253</c:v>
                </c:pt>
                <c:pt idx="690">
                  <c:v>1911.4184553767861</c:v>
                </c:pt>
                <c:pt idx="691">
                  <c:v>1907.2042117244589</c:v>
                </c:pt>
                <c:pt idx="692">
                  <c:v>1902.8993187044739</c:v>
                </c:pt>
                <c:pt idx="693">
                  <c:v>1898.5040838619575</c:v>
                </c:pt>
                <c:pt idx="694">
                  <c:v>1894.0188204478329</c:v>
                </c:pt>
                <c:pt idx="695">
                  <c:v>1889.4438473512732</c:v>
                </c:pt>
                <c:pt idx="696">
                  <c:v>1884.779489030868</c:v>
                </c:pt>
                <c:pt idx="697">
                  <c:v>1880.0260754445619</c:v>
                </c:pt>
                <c:pt idx="698">
                  <c:v>1875.1839419784192</c:v>
                </c:pt>
                <c:pt idx="699">
                  <c:v>1870.2534293742679</c:v>
                </c:pt>
                <c:pt idx="700">
                  <c:v>1865.2348836562724</c:v>
                </c:pt>
                <c:pt idx="701">
                  <c:v>1860.1286560564827</c:v>
                </c:pt>
                <c:pt idx="702">
                  <c:v>1854.9351029394077</c:v>
                </c:pt>
                <c:pt idx="703">
                  <c:v>1849.6545857256558</c:v>
                </c:pt>
                <c:pt idx="704">
                  <c:v>1844.2874708146885</c:v>
                </c:pt>
                <c:pt idx="705">
                  <c:v>1838.834129506728</c:v>
                </c:pt>
                <c:pt idx="706">
                  <c:v>1833.2949379238605</c:v>
                </c:pt>
                <c:pt idx="707">
                  <c:v>1827.6702769303761</c:v>
                </c:pt>
                <c:pt idx="708">
                  <c:v>1821.9605320523856</c:v>
                </c:pt>
                <c:pt idx="709">
                  <c:v>1816.166093396753</c:v>
                </c:pt>
                <c:pt idx="710">
                  <c:v>1810.2873555693811</c:v>
                </c:pt>
                <c:pt idx="711">
                  <c:v>1804.3247175928902</c:v>
                </c:pt>
                <c:pt idx="712">
                  <c:v>1798.2785828237259</c:v>
                </c:pt>
                <c:pt idx="713">
                  <c:v>1792.1493588687329</c:v>
                </c:pt>
                <c:pt idx="714">
                  <c:v>1785.9374575012321</c:v>
                </c:pt>
                <c:pt idx="715">
                  <c:v>1779.643294576636</c:v>
                </c:pt>
                <c:pt idx="716">
                  <c:v>1773.2672899476393</c:v>
                </c:pt>
                <c:pt idx="717">
                  <c:v>1766.8098673790178</c:v>
                </c:pt>
                <c:pt idx="718">
                  <c:v>1760.2714544620728</c:v>
                </c:pt>
                <c:pt idx="719">
                  <c:v>1753.6524825287538</c:v>
                </c:pt>
                <c:pt idx="720">
                  <c:v>1746.9533865654939</c:v>
                </c:pt>
                <c:pt idx="721">
                  <c:v>1740.1746051267924</c:v>
                </c:pt>
                <c:pt idx="722">
                  <c:v>1733.3165802485764</c:v>
                </c:pt>
                <c:pt idx="723">
                  <c:v>1726.3797573613767</c:v>
                </c:pt>
                <c:pt idx="724">
                  <c:v>1719.3645852033469</c:v>
                </c:pt>
                <c:pt idx="725">
                  <c:v>1712.2715157331627</c:v>
                </c:pt>
                <c:pt idx="726">
                  <c:v>1705.1010040428291</c:v>
                </c:pt>
                <c:pt idx="727">
                  <c:v>1697.8535082704298</c:v>
                </c:pt>
                <c:pt idx="728">
                  <c:v>1690.5294895128477</c:v>
                </c:pt>
                <c:pt idx="729">
                  <c:v>1683.1294117384891</c:v>
                </c:pt>
                <c:pt idx="730">
                  <c:v>1675.6537417000413</c:v>
                </c:pt>
                <c:pt idx="731">
                  <c:v>1668.1029488472925</c:v>
                </c:pt>
                <c:pt idx="732">
                  <c:v>1660.4775052400453</c:v>
                </c:pt>
                <c:pt idx="733">
                  <c:v>1652.777885461152</c:v>
                </c:pt>
                <c:pt idx="734">
                  <c:v>1645.0045665297002</c:v>
                </c:pt>
                <c:pt idx="735">
                  <c:v>1637.158027814377</c:v>
                </c:pt>
                <c:pt idx="736">
                  <c:v>1629.2387509470402</c:v>
                </c:pt>
                <c:pt idx="737">
                  <c:v>1621.2472197365234</c:v>
                </c:pt>
                <c:pt idx="738">
                  <c:v>1613.1839200827028</c:v>
                </c:pt>
                <c:pt idx="739">
                  <c:v>1605.0493398908495</c:v>
                </c:pt>
                <c:pt idx="740">
                  <c:v>1596.843968986298</c:v>
                </c:pt>
                <c:pt idx="741">
                  <c:v>1588.5682990294511</c:v>
                </c:pt>
                <c:pt idx="742">
                  <c:v>1580.2228234311503</c:v>
                </c:pt>
                <c:pt idx="743">
                  <c:v>1571.8080372684353</c:v>
                </c:pt>
                <c:pt idx="744">
                  <c:v>1563.3244372007143</c:v>
                </c:pt>
                <c:pt idx="745">
                  <c:v>1554.7725213863728</c:v>
                </c:pt>
                <c:pt idx="746">
                  <c:v>1546.1527893998395</c:v>
                </c:pt>
                <c:pt idx="747">
                  <c:v>1537.4657421491372</c:v>
                </c:pt>
                <c:pt idx="748">
                  <c:v>1528.711881793934</c:v>
                </c:pt>
                <c:pt idx="749">
                  <c:v>1519.8917116641235</c:v>
                </c:pt>
                <c:pt idx="750">
                  <c:v>1511.0057361789491</c:v>
                </c:pt>
                <c:pt idx="751">
                  <c:v>1502.0544607666966</c:v>
                </c:pt>
                <c:pt idx="752">
                  <c:v>1493.038391784974</c:v>
                </c:pt>
                <c:pt idx="753">
                  <c:v>1483.9580364415965</c:v>
                </c:pt>
                <c:pt idx="754">
                  <c:v>1474.8139027160983</c:v>
                </c:pt>
                <c:pt idx="755">
                  <c:v>1465.6064992818874</c:v>
                </c:pt>
                <c:pt idx="756">
                  <c:v>1456.3363354290618</c:v>
                </c:pt>
                <c:pt idx="757">
                  <c:v>1447.0039209879053</c:v>
                </c:pt>
                <c:pt idx="758">
                  <c:v>1437.6097662530779</c:v>
                </c:pt>
                <c:pt idx="759">
                  <c:v>1428.1543819085182</c:v>
                </c:pt>
                <c:pt idx="760">
                  <c:v>1418.6382789530742</c:v>
                </c:pt>
                <c:pt idx="761">
                  <c:v>1409.0619686268749</c:v>
                </c:pt>
                <c:pt idx="762">
                  <c:v>1399.4259623384605</c:v>
                </c:pt>
                <c:pt idx="763">
                  <c:v>1389.7307715926825</c:v>
                </c:pt>
                <c:pt idx="764">
                  <c:v>1379.9769079193893</c:v>
                </c:pt>
                <c:pt idx="765">
                  <c:v>1370.1648828029088</c:v>
                </c:pt>
                <c:pt idx="766">
                  <c:v>1360.2952076123406</c:v>
                </c:pt>
                <c:pt idx="767">
                  <c:v>1350.368393532671</c:v>
                </c:pt>
                <c:pt idx="768">
                  <c:v>1340.3849514967196</c:v>
                </c:pt>
                <c:pt idx="769">
                  <c:v>1330.3453921179314</c:v>
                </c:pt>
                <c:pt idx="770">
                  <c:v>1320.2502256240211</c:v>
                </c:pt>
                <c:pt idx="771">
                  <c:v>1310.0999617914833</c:v>
                </c:pt>
                <c:pt idx="772">
                  <c:v>1299.8951098809741</c:v>
                </c:pt>
                <c:pt idx="773">
                  <c:v>1289.6361785735753</c:v>
                </c:pt>
                <c:pt idx="774">
                  <c:v>1279.3236759079484</c:v>
                </c:pt>
                <c:pt idx="775">
                  <c:v>1268.9581092183862</c:v>
                </c:pt>
                <c:pt idx="776">
                  <c:v>1258.5399850737683</c:v>
                </c:pt>
                <c:pt idx="777">
                  <c:v>1248.0698092174302</c:v>
                </c:pt>
                <c:pt idx="778">
                  <c:v>1237.5480865079473</c:v>
                </c:pt>
                <c:pt idx="779">
                  <c:v>1226.9753208608438</c:v>
                </c:pt>
                <c:pt idx="780">
                  <c:v>1216.3520151912298</c:v>
                </c:pt>
                <c:pt idx="781">
                  <c:v>1205.6786713573715</c:v>
                </c:pt>
                <c:pt idx="782">
                  <c:v>1194.955790105198</c:v>
                </c:pt>
                <c:pt idx="783">
                  <c:v>1184.1838710137506</c:v>
                </c:pt>
                <c:pt idx="784">
                  <c:v>1173.3634124415751</c:v>
                </c:pt>
                <c:pt idx="785">
                  <c:v>1162.4949114740627</c:v>
                </c:pt>
                <c:pt idx="786">
                  <c:v>1151.5788638717404</c:v>
                </c:pt>
                <c:pt idx="787">
                  <c:v>1140.6157640195113</c:v>
                </c:pt>
                <c:pt idx="788">
                  <c:v>1129.6061048768513</c:v>
                </c:pt>
                <c:pt idx="789">
                  <c:v>1118.550377928957</c:v>
                </c:pt>
                <c:pt idx="790">
                  <c:v>1107.4490731388507</c:v>
                </c:pt>
                <c:pt idx="791">
                  <c:v>1096.3026789004398</c:v>
                </c:pt>
                <c:pt idx="792">
                  <c:v>1085.1116819925312</c:v>
                </c:pt>
                <c:pt idx="793">
                  <c:v>1073.8765675338011</c:v>
                </c:pt>
                <c:pt idx="794">
                  <c:v>1062.5978189387179</c:v>
                </c:pt>
                <c:pt idx="795">
                  <c:v>1051.2759178744179</c:v>
                </c:pt>
                <c:pt idx="796">
                  <c:v>1039.9113442185314</c:v>
                </c:pt>
                <c:pt idx="797">
                  <c:v>1028.5045760179585</c:v>
                </c:pt>
                <c:pt idx="798">
                  <c:v>1017.0560894485898</c:v>
                </c:pt>
                <c:pt idx="799">
                  <c:v>1005.5663587759723</c:v>
                </c:pt>
                <c:pt idx="800">
                  <c:v>994.0358563169151</c:v>
                </c:pt>
                <c:pt idx="801">
                  <c:v>982.4650524020326</c:v>
                </c:pt>
                <c:pt idx="802">
                  <c:v>970.85441533922096</c:v>
                </c:pt>
                <c:pt idx="803">
                  <c:v>959.20441137806461</c:v>
                </c:pt>
                <c:pt idx="804">
                  <c:v>947.51550467516734</c:v>
                </c:pt>
                <c:pt idx="805">
                  <c:v>935.78815726040432</c:v>
                </c:pt>
                <c:pt idx="806">
                  <c:v>924.02282900408977</c:v>
                </c:pt>
                <c:pt idx="807">
                  <c:v>912.21997758505472</c:v>
                </c:pt>
                <c:pt idx="808">
                  <c:v>900.38005845963039</c:v>
                </c:pt>
                <c:pt idx="809">
                  <c:v>888.50352483153017</c:v>
                </c:pt>
                <c:pt idx="810">
                  <c:v>876.5908276226254</c:v>
                </c:pt>
                <c:pt idx="811">
                  <c:v>864.64241544460788</c:v>
                </c:pt>
                <c:pt idx="812">
                  <c:v>852.65873457153316</c:v>
                </c:pt>
                <c:pt idx="813">
                  <c:v>840.64022891323782</c:v>
                </c:pt>
                <c:pt idx="814">
                  <c:v>828.58733998962362</c:v>
                </c:pt>
                <c:pt idx="815">
                  <c:v>816.50050690580144</c:v>
                </c:pt>
                <c:pt idx="816">
                  <c:v>804.38016632808819</c:v>
                </c:pt>
                <c:pt idx="817">
                  <c:v>792.22675246084827</c:v>
                </c:pt>
                <c:pt idx="818">
                  <c:v>780.04069702417269</c:v>
                </c:pt>
                <c:pt idx="819">
                  <c:v>767.82242923238732</c:v>
                </c:pt>
                <c:pt idx="820">
                  <c:v>755.57237577338321</c:v>
                </c:pt>
                <c:pt idx="821">
                  <c:v>743.29096078875898</c:v>
                </c:pt>
                <c:pt idx="822">
                  <c:v>730.97860585476906</c:v>
                </c:pt>
                <c:pt idx="823">
                  <c:v>718.63572996406731</c:v>
                </c:pt>
                <c:pt idx="824">
                  <c:v>706.26274950823881</c:v>
                </c:pt>
                <c:pt idx="825">
                  <c:v>693.86007826111029</c:v>
                </c:pt>
                <c:pt idx="826">
                  <c:v>681.42812736283008</c:v>
                </c:pt>
                <c:pt idx="827">
                  <c:v>668.96730530470893</c:v>
                </c:pt>
                <c:pt idx="828">
                  <c:v>656.47801791481299</c:v>
                </c:pt>
                <c:pt idx="829">
                  <c:v>643.96066834429826</c:v>
                </c:pt>
                <c:pt idx="830">
                  <c:v>631.41565705447874</c:v>
                </c:pt>
                <c:pt idx="831">
                  <c:v>618.84338180461771</c:v>
                </c:pt>
                <c:pt idx="832">
                  <c:v>606.2442376404332</c:v>
                </c:pt>
                <c:pt idx="833">
                  <c:v>593.61861688330771</c:v>
                </c:pt>
                <c:pt idx="834">
                  <c:v>580.96690912019255</c:v>
                </c:pt>
                <c:pt idx="835">
                  <c:v>568.28950119419733</c:v>
                </c:pt>
                <c:pt idx="836">
                  <c:v>555.58677719585432</c:v>
                </c:pt>
                <c:pt idx="837">
                  <c:v>542.85911845504813</c:v>
                </c:pt>
                <c:pt idx="838">
                  <c:v>530.10690353360076</c:v>
                </c:pt>
                <c:pt idx="839">
                  <c:v>517.33050821850213</c:v>
                </c:pt>
                <c:pt idx="840">
                  <c:v>504.53030551577569</c:v>
                </c:pt>
                <c:pt idx="841">
                  <c:v>491.7066656449698</c:v>
                </c:pt>
                <c:pt idx="842">
                  <c:v>478.85995603426403</c:v>
                </c:pt>
                <c:pt idx="843">
                  <c:v>465.99054131618112</c:v>
                </c:pt>
                <c:pt idx="844">
                  <c:v>453.09878332389405</c:v>
                </c:pt>
                <c:pt idx="845">
                  <c:v>440.18504108811806</c:v>
                </c:pt>
                <c:pt idx="846">
                  <c:v>427.24967083457796</c:v>
                </c:pt>
                <c:pt idx="847">
                  <c:v>414.29302598204026</c:v>
                </c:pt>
                <c:pt idx="848">
                  <c:v>401.31545714090038</c:v>
                </c:pt>
                <c:pt idx="849">
                  <c:v>388.31731211231454</c:v>
                </c:pt>
                <c:pt idx="850">
                  <c:v>375.29893588786655</c:v>
                </c:pt>
                <c:pt idx="851">
                  <c:v>362.26067064975933</c:v>
                </c:pt>
                <c:pt idx="852">
                  <c:v>349.20285577152134</c:v>
                </c:pt>
                <c:pt idx="853">
                  <c:v>336.12582781921776</c:v>
                </c:pt>
                <c:pt idx="854">
                  <c:v>323.02992055315639</c:v>
                </c:pt>
                <c:pt idx="855">
                  <c:v>309.91546493007883</c:v>
                </c:pt>
                <c:pt idx="856">
                  <c:v>296.78278910582662</c:v>
                </c:pt>
                <c:pt idx="857">
                  <c:v>283.63221843847282</c:v>
                </c:pt>
                <c:pt idx="858">
                  <c:v>270.46407549190883</c:v>
                </c:pt>
                <c:pt idx="859">
                  <c:v>257.27868003987737</c:v>
                </c:pt>
                <c:pt idx="860">
                  <c:v>244.07634907044164</c:v>
                </c:pt>
                <c:pt idx="861">
                  <c:v>230.85739679088064</c:v>
                </c:pt>
                <c:pt idx="862">
                  <c:v>217.62213463300199</c:v>
                </c:pt>
                <c:pt idx="863">
                  <c:v>204.370871258862</c:v>
                </c:pt>
                <c:pt idx="864">
                  <c:v>191.10391256688396</c:v>
                </c:pt>
                <c:pt idx="865">
                  <c:v>177.82156169836514</c:v>
                </c:pt>
                <c:pt idx="866">
                  <c:v>164.52411904436343</c:v>
                </c:pt>
                <c:pt idx="867">
                  <c:v>151.21188225295407</c:v>
                </c:pt>
                <c:pt idx="868">
                  <c:v>137.8851462368477</c:v>
                </c:pt>
                <c:pt idx="869">
                  <c:v>124.54420318136053</c:v>
                </c:pt>
                <c:pt idx="870">
                  <c:v>111.18934255272758</c:v>
                </c:pt>
                <c:pt idx="871">
                  <c:v>97.820851106750254</c:v>
                </c:pt>
                <c:pt idx="872">
                  <c:v>84.439012897769345</c:v>
                </c:pt>
                <c:pt idx="873">
                  <c:v>71.044109287954825</c:v>
                </c:pt>
                <c:pt idx="874">
                  <c:v>57.636418956903725</c:v>
                </c:pt>
                <c:pt idx="875">
                  <c:v>44.216217911537612</c:v>
                </c:pt>
                <c:pt idx="876">
                  <c:v>30.78377949629121</c:v>
                </c:pt>
                <c:pt idx="877">
                  <c:v>17.339374403583818</c:v>
                </c:pt>
                <c:pt idx="878">
                  <c:v>3.8832706845652005</c:v>
                </c:pt>
                <c:pt idx="879">
                  <c:v>-9.5842662398721146</c:v>
                </c:pt>
                <c:pt idx="880">
                  <c:v>-9.5977394328919523</c:v>
                </c:pt>
                <c:pt idx="881">
                  <c:v>-9.6112126369513167</c:v>
                </c:pt>
                <c:pt idx="882">
                  <c:v>-9.6246858520499483</c:v>
                </c:pt>
                <c:pt idx="883">
                  <c:v>-9.6381590781875897</c:v>
                </c:pt>
                <c:pt idx="884">
                  <c:v>-9.6516323153639831</c:v>
                </c:pt>
                <c:pt idx="885">
                  <c:v>-9.6651055635788676</c:v>
                </c:pt>
                <c:pt idx="886">
                  <c:v>-9.6785788228319873</c:v>
                </c:pt>
                <c:pt idx="887">
                  <c:v>-9.6920520931230829</c:v>
                </c:pt>
                <c:pt idx="888">
                  <c:v>-9.705525374451895</c:v>
                </c:pt>
                <c:pt idx="889">
                  <c:v>-9.718998666818166</c:v>
                </c:pt>
                <c:pt idx="890">
                  <c:v>-9.7324719702216367</c:v>
                </c:pt>
                <c:pt idx="891">
                  <c:v>-9.7459452846620493</c:v>
                </c:pt>
                <c:pt idx="892">
                  <c:v>-9.7594186101391447</c:v>
                </c:pt>
                <c:pt idx="893">
                  <c:v>-9.7728919466526651</c:v>
                </c:pt>
                <c:pt idx="894">
                  <c:v>-9.7863652942023514</c:v>
                </c:pt>
                <c:pt idx="895">
                  <c:v>-9.7998386527879457</c:v>
                </c:pt>
                <c:pt idx="896">
                  <c:v>-9.813312022409189</c:v>
                </c:pt>
                <c:pt idx="897">
                  <c:v>-9.8267854030658235</c:v>
                </c:pt>
                <c:pt idx="898">
                  <c:v>-9.8402587947575899</c:v>
                </c:pt>
                <c:pt idx="899">
                  <c:v>-9.8537321974842307</c:v>
                </c:pt>
                <c:pt idx="900">
                  <c:v>-9.8672056112454865</c:v>
                </c:pt>
                <c:pt idx="901">
                  <c:v>-9.8806790360410979</c:v>
                </c:pt>
                <c:pt idx="902">
                  <c:v>-9.8941524718708092</c:v>
                </c:pt>
                <c:pt idx="903">
                  <c:v>-9.9076259187343592</c:v>
                </c:pt>
                <c:pt idx="904">
                  <c:v>-9.9210993766314903</c:v>
                </c:pt>
                <c:pt idx="905">
                  <c:v>-9.9345728455619451</c:v>
                </c:pt>
                <c:pt idx="906">
                  <c:v>-9.9480463255254641</c:v>
                </c:pt>
                <c:pt idx="907">
                  <c:v>-9.9615198165217897</c:v>
                </c:pt>
                <c:pt idx="908">
                  <c:v>-9.9749933185506627</c:v>
                </c:pt>
                <c:pt idx="909">
                  <c:v>-9.9884668316118255</c:v>
                </c:pt>
                <c:pt idx="910">
                  <c:v>-10.001940355705019</c:v>
                </c:pt>
                <c:pt idx="911">
                  <c:v>-10.015413890829985</c:v>
                </c:pt>
                <c:pt idx="912">
                  <c:v>-10.028887436986464</c:v>
                </c:pt>
                <c:pt idx="913">
                  <c:v>-10.042360994174199</c:v>
                </c:pt>
                <c:pt idx="914">
                  <c:v>-10.055834562392931</c:v>
                </c:pt>
                <c:pt idx="915">
                  <c:v>-10.069308141642402</c:v>
                </c:pt>
                <c:pt idx="916">
                  <c:v>-10.082781731922353</c:v>
                </c:pt>
                <c:pt idx="917">
                  <c:v>-10.096255333232525</c:v>
                </c:pt>
                <c:pt idx="918">
                  <c:v>-10.109728945572662</c:v>
                </c:pt>
                <c:pt idx="919">
                  <c:v>-10.123202568942503</c:v>
                </c:pt>
                <c:pt idx="920">
                  <c:v>-10.136676203341791</c:v>
                </c:pt>
                <c:pt idx="921">
                  <c:v>-10.150149848770267</c:v>
                </c:pt>
                <c:pt idx="922">
                  <c:v>-10.163623505227672</c:v>
                </c:pt>
                <c:pt idx="923">
                  <c:v>-10.177097172713749</c:v>
                </c:pt>
                <c:pt idx="924">
                  <c:v>-10.190570851228239</c:v>
                </c:pt>
                <c:pt idx="925">
                  <c:v>-10.204044540770884</c:v>
                </c:pt>
                <c:pt idx="926">
                  <c:v>-10.217518241341425</c:v>
                </c:pt>
                <c:pt idx="927">
                  <c:v>-10.230991952939604</c:v>
                </c:pt>
                <c:pt idx="928">
                  <c:v>-10.244465675565161</c:v>
                </c:pt>
                <c:pt idx="929">
                  <c:v>-10.25793940921784</c:v>
                </c:pt>
                <c:pt idx="930">
                  <c:v>-10.271413153897381</c:v>
                </c:pt>
                <c:pt idx="931">
                  <c:v>-10.284886909603527</c:v>
                </c:pt>
                <c:pt idx="932">
                  <c:v>-10.298360676336017</c:v>
                </c:pt>
                <c:pt idx="933">
                  <c:v>-10.311834454094596</c:v>
                </c:pt>
                <c:pt idx="934">
                  <c:v>-10.325308242879004</c:v>
                </c:pt>
                <c:pt idx="935">
                  <c:v>-10.338782042688981</c:v>
                </c:pt>
                <c:pt idx="936">
                  <c:v>-10.352255853524271</c:v>
                </c:pt>
                <c:pt idx="937">
                  <c:v>-10.365729675384616</c:v>
                </c:pt>
                <c:pt idx="938">
                  <c:v>-10.379203508269756</c:v>
                </c:pt>
                <c:pt idx="939">
                  <c:v>-10.392677352179433</c:v>
                </c:pt>
                <c:pt idx="940">
                  <c:v>-10.406151207113389</c:v>
                </c:pt>
                <c:pt idx="941">
                  <c:v>-10.419625073071366</c:v>
                </c:pt>
                <c:pt idx="942">
                  <c:v>-10.433098950053104</c:v>
                </c:pt>
                <c:pt idx="943">
                  <c:v>-10.446572838058346</c:v>
                </c:pt>
                <c:pt idx="944">
                  <c:v>-10.460046737086833</c:v>
                </c:pt>
                <c:pt idx="945">
                  <c:v>-10.473520647138306</c:v>
                </c:pt>
                <c:pt idx="946">
                  <c:v>-10.486994568212509</c:v>
                </c:pt>
                <c:pt idx="947">
                  <c:v>-10.500468500309182</c:v>
                </c:pt>
                <c:pt idx="948">
                  <c:v>-10.513942443428068</c:v>
                </c:pt>
                <c:pt idx="949">
                  <c:v>-10.527416397568906</c:v>
                </c:pt>
                <c:pt idx="950">
                  <c:v>-10.540890362731441</c:v>
                </c:pt>
                <c:pt idx="951">
                  <c:v>-10.554364338915411</c:v>
                </c:pt>
                <c:pt idx="952">
                  <c:v>-10.56783832612056</c:v>
                </c:pt>
                <c:pt idx="953">
                  <c:v>-10.58131232434663</c:v>
                </c:pt>
                <c:pt idx="954">
                  <c:v>-10.594786333593362</c:v>
                </c:pt>
                <c:pt idx="955">
                  <c:v>-10.608260353860498</c:v>
                </c:pt>
                <c:pt idx="956">
                  <c:v>-10.621734385147779</c:v>
                </c:pt>
                <c:pt idx="957">
                  <c:v>-10.635208427454947</c:v>
                </c:pt>
                <c:pt idx="958">
                  <c:v>-10.648682480781744</c:v>
                </c:pt>
                <c:pt idx="959">
                  <c:v>-10.662156545127912</c:v>
                </c:pt>
                <c:pt idx="960">
                  <c:v>-10.675630620493191</c:v>
                </c:pt>
                <c:pt idx="961">
                  <c:v>-10.689104706877323</c:v>
                </c:pt>
                <c:pt idx="962">
                  <c:v>-10.702578804280051</c:v>
                </c:pt>
                <c:pt idx="963">
                  <c:v>-10.716052912701118</c:v>
                </c:pt>
                <c:pt idx="964">
                  <c:v>-10.729527032140263</c:v>
                </c:pt>
                <c:pt idx="965">
                  <c:v>-10.743001162597228</c:v>
                </c:pt>
                <c:pt idx="966">
                  <c:v>-10.756475304071754</c:v>
                </c:pt>
                <c:pt idx="967">
                  <c:v>-10.769949456563586</c:v>
                </c:pt>
                <c:pt idx="968">
                  <c:v>-10.783423620072462</c:v>
                </c:pt>
                <c:pt idx="969">
                  <c:v>-10.796897794598125</c:v>
                </c:pt>
                <c:pt idx="970">
                  <c:v>-10.810371980140319</c:v>
                </c:pt>
                <c:pt idx="971">
                  <c:v>-10.823846176698783</c:v>
                </c:pt>
                <c:pt idx="972">
                  <c:v>-10.83732038427326</c:v>
                </c:pt>
                <c:pt idx="973">
                  <c:v>-10.850794602863491</c:v>
                </c:pt>
                <c:pt idx="974">
                  <c:v>-10.864268832469218</c:v>
                </c:pt>
                <c:pt idx="975">
                  <c:v>-10.877743073090183</c:v>
                </c:pt>
                <c:pt idx="976">
                  <c:v>-10.891217324726128</c:v>
                </c:pt>
                <c:pt idx="977">
                  <c:v>-10.904691587376794</c:v>
                </c:pt>
                <c:pt idx="978">
                  <c:v>-10.918165861041922</c:v>
                </c:pt>
                <c:pt idx="979">
                  <c:v>-10.931640145721255</c:v>
                </c:pt>
                <c:pt idx="980">
                  <c:v>-10.945114441414535</c:v>
                </c:pt>
                <c:pt idx="981">
                  <c:v>-10.958588748121503</c:v>
                </c:pt>
                <c:pt idx="982">
                  <c:v>-10.972063065841901</c:v>
                </c:pt>
                <c:pt idx="983">
                  <c:v>-10.98553739457547</c:v>
                </c:pt>
                <c:pt idx="984">
                  <c:v>-10.999011734321952</c:v>
                </c:pt>
                <c:pt idx="985">
                  <c:v>-11.01248608508109</c:v>
                </c:pt>
                <c:pt idx="986">
                  <c:v>-11.025960446852624</c:v>
                </c:pt>
                <c:pt idx="987">
                  <c:v>-11.039434819636297</c:v>
                </c:pt>
                <c:pt idx="988">
                  <c:v>-11.052909203431849</c:v>
                </c:pt>
                <c:pt idx="989">
                  <c:v>-11.066383598239025</c:v>
                </c:pt>
                <c:pt idx="990">
                  <c:v>-11.079858004057563</c:v>
                </c:pt>
                <c:pt idx="991">
                  <c:v>-11.093332420887208</c:v>
                </c:pt>
                <c:pt idx="992">
                  <c:v>-11.1068068487277</c:v>
                </c:pt>
                <c:pt idx="993">
                  <c:v>-11.120281287578782</c:v>
                </c:pt>
                <c:pt idx="994">
                  <c:v>-11.133755737440195</c:v>
                </c:pt>
                <c:pt idx="995">
                  <c:v>-11.14723019831168</c:v>
                </c:pt>
                <c:pt idx="996">
                  <c:v>-11.160704670192981</c:v>
                </c:pt>
                <c:pt idx="997">
                  <c:v>-11.174179153083838</c:v>
                </c:pt>
                <c:pt idx="998">
                  <c:v>-11.187653646983993</c:v>
                </c:pt>
                <c:pt idx="999">
                  <c:v>-11.201128151893187</c:v>
                </c:pt>
                <c:pt idx="1000">
                  <c:v>-11.214602667811162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0-FB44-B75E-51812F6EE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984576"/>
        <c:axId val="1"/>
      </c:scatterChart>
      <c:valAx>
        <c:axId val="1805984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strRef>
              <c:f>Courbes!$B$146</c:f>
              <c:strCache>
                <c:ptCount val="1"/>
                <c:pt idx="0">
                  <c:v>Temps [s]</c:v>
                </c:pt>
              </c:strCache>
            </c:strRef>
          </c:tx>
          <c:overlay val="0"/>
          <c:txPr>
            <a:bodyPr/>
            <a:lstStyle/>
            <a:p>
              <a:pPr>
                <a:defRPr sz="1000" b="0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fr-FR"/>
            </a:p>
          </c:tx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Positions [m]</a:t>
                </a:r>
              </a:p>
            </c:rich>
          </c:tx>
          <c:layout>
            <c:manualLayout>
              <c:xMode val="edge"/>
              <c:yMode val="edge"/>
              <c:x val="2.0047169811320754E-2"/>
              <c:y val="0.3006547681539807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5984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02074463926657"/>
          <c:y val="0.49147026534597421"/>
          <c:w val="0.12627396663822255"/>
          <c:h val="0.1538515613256962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0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Propu!$A$2</c:f>
          <c:strCache>
            <c:ptCount val="1"/>
            <c:pt idx="0">
              <c:v>Orignal (Pro75-3G)</c:v>
            </c:pt>
          </c:strCache>
        </c:strRef>
      </c:tx>
      <c:layout>
        <c:manualLayout>
          <c:xMode val="edge"/>
          <c:yMode val="edge"/>
          <c:x val="0.47127077646762683"/>
          <c:y val="3.9178592393174498E-2"/>
        </c:manualLayout>
      </c:layout>
      <c:overlay val="0"/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496559551677719E-2"/>
          <c:y val="5.5426586068345704E-2"/>
          <c:w val="0.88973722710617953"/>
          <c:h val="0.82390179871348945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Propu!$A$4</c:f>
              <c:strCache>
                <c:ptCount val="1"/>
                <c:pt idx="0">
                  <c:v>Poussée (en N)</c:v>
                </c:pt>
              </c:strCache>
            </c:strRef>
          </c:tx>
          <c:spPr>
            <a:ln w="25400">
              <a:solidFill>
                <a:srgbClr val="004586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4586"/>
              </a:solidFill>
              <a:ln>
                <a:solidFill>
                  <a:srgbClr val="004586"/>
                </a:solidFill>
                <a:prstDash val="solid"/>
              </a:ln>
            </c:spPr>
          </c:marker>
          <c:xVal>
            <c:numRef>
              <c:f>Propu!$B$3:$X$3</c:f>
              <c:numCache>
                <c:formatCode>General</c:formatCode>
                <c:ptCount val="23"/>
                <c:pt idx="0">
                  <c:v>0</c:v>
                </c:pt>
                <c:pt idx="1">
                  <c:v>0.01</c:v>
                </c:pt>
                <c:pt idx="2">
                  <c:v>0.1</c:v>
                </c:pt>
                <c:pt idx="3">
                  <c:v>0.12</c:v>
                </c:pt>
                <c:pt idx="4">
                  <c:v>0.26</c:v>
                </c:pt>
                <c:pt idx="5">
                  <c:v>0.71</c:v>
                </c:pt>
                <c:pt idx="6">
                  <c:v>1.28</c:v>
                </c:pt>
                <c:pt idx="7">
                  <c:v>2.0499999999999998</c:v>
                </c:pt>
                <c:pt idx="8">
                  <c:v>2.41</c:v>
                </c:pt>
                <c:pt idx="9">
                  <c:v>2.83</c:v>
                </c:pt>
                <c:pt idx="10">
                  <c:v>3.25</c:v>
                </c:pt>
                <c:pt idx="11">
                  <c:v>3.65</c:v>
                </c:pt>
                <c:pt idx="12">
                  <c:v>3.8</c:v>
                </c:pt>
                <c:pt idx="13">
                  <c:v>4</c:v>
                </c:pt>
                <c:pt idx="14">
                  <c:v>4.0999999999999996</c:v>
                </c:pt>
                <c:pt idx="15">
                  <c:v>4.1900000000000004</c:v>
                </c:pt>
                <c:pt idx="16">
                  <c:v>4.3099999999999996</c:v>
                </c:pt>
                <c:pt idx="17">
                  <c:v>4.41</c:v>
                </c:pt>
                <c:pt idx="18">
                  <c:v>4.5199999999999996</c:v>
                </c:pt>
                <c:pt idx="19">
                  <c:v>4.5999999999999996</c:v>
                </c:pt>
                <c:pt idx="20">
                  <c:v>4.6500000000000004</c:v>
                </c:pt>
                <c:pt idx="21">
                  <c:v>4.67</c:v>
                </c:pt>
                <c:pt idx="22">
                  <c:v>4.68</c:v>
                </c:pt>
              </c:numCache>
            </c:numRef>
          </c:xVal>
          <c:yVal>
            <c:numRef>
              <c:f>Propu!$B$4:$X$4</c:f>
              <c:numCache>
                <c:formatCode>General</c:formatCode>
                <c:ptCount val="23"/>
                <c:pt idx="0">
                  <c:v>27</c:v>
                </c:pt>
                <c:pt idx="1">
                  <c:v>402.4</c:v>
                </c:pt>
                <c:pt idx="2">
                  <c:v>1286</c:v>
                </c:pt>
                <c:pt idx="3">
                  <c:v>1257</c:v>
                </c:pt>
                <c:pt idx="4">
                  <c:v>1042</c:v>
                </c:pt>
                <c:pt idx="5">
                  <c:v>1027</c:v>
                </c:pt>
                <c:pt idx="6">
                  <c:v>998.4</c:v>
                </c:pt>
                <c:pt idx="7">
                  <c:v>901.4</c:v>
                </c:pt>
                <c:pt idx="8">
                  <c:v>849.6</c:v>
                </c:pt>
                <c:pt idx="9">
                  <c:v>763.5</c:v>
                </c:pt>
                <c:pt idx="10">
                  <c:v>707.1</c:v>
                </c:pt>
                <c:pt idx="11">
                  <c:v>655.1</c:v>
                </c:pt>
                <c:pt idx="12">
                  <c:v>651.70000000000005</c:v>
                </c:pt>
                <c:pt idx="13">
                  <c:v>624.1</c:v>
                </c:pt>
                <c:pt idx="14">
                  <c:v>601.29999999999995</c:v>
                </c:pt>
                <c:pt idx="15">
                  <c:v>536.20000000000005</c:v>
                </c:pt>
                <c:pt idx="16">
                  <c:v>415.7</c:v>
                </c:pt>
                <c:pt idx="17">
                  <c:v>270.2</c:v>
                </c:pt>
                <c:pt idx="18">
                  <c:v>140.19999999999999</c:v>
                </c:pt>
                <c:pt idx="19">
                  <c:v>76.900000000000006</c:v>
                </c:pt>
                <c:pt idx="20">
                  <c:v>54.9</c:v>
                </c:pt>
                <c:pt idx="21">
                  <c:v>40.200000000000003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9-674F-B487-8B8E0AC5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6025184"/>
        <c:axId val="1"/>
      </c:scatterChart>
      <c:valAx>
        <c:axId val="1806025184"/>
        <c:scaling>
          <c:orientation val="minMax"/>
        </c:scaling>
        <c:delete val="0"/>
        <c:axPos val="b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Temps / Time [s]</a:t>
                </a:r>
              </a:p>
            </c:rich>
          </c:tx>
          <c:layout>
            <c:manualLayout>
              <c:xMode val="edge"/>
              <c:yMode val="edge"/>
              <c:x val="0.78665554917523417"/>
              <c:y val="0.688681254174847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B3B3B3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r-FR"/>
                  <a:t>Poussée / Thrust [N]</a:t>
                </a:r>
              </a:p>
            </c:rich>
          </c:tx>
          <c:layout>
            <c:manualLayout>
              <c:xMode val="edge"/>
              <c:yMode val="edge"/>
              <c:x val="8.5144147191391295E-2"/>
              <c:y val="0.353276521668724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806025184"/>
        <c:crosses val="autoZero"/>
        <c:crossBetween val="midCat"/>
      </c:valAx>
      <c:spPr>
        <a:noFill/>
        <a:ln w="3175">
          <a:solidFill>
            <a:srgbClr val="B3B3B3"/>
          </a:solidFill>
          <a:prstDash val="solid"/>
        </a:ln>
      </c:spPr>
    </c:plotArea>
    <c:plotVisOnly val="0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56" l="0.78740157499999996" r="0.78740157499999996" t="0.98425196899999956" header="0.51180555555555562" footer="0.51180555555555562"/>
    <c:pageSetup firstPageNumber="0" orientation="landscape" horizontalDpi="1200" verticalDpi="1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Abaco!$B$75</c:f>
          <c:strCache>
            <c:ptCount val="1"/>
            <c:pt idx="0">
              <c:v>Vitesse max / Masse totale</c:v>
            </c:pt>
          </c:strCache>
        </c:strRef>
      </c:tx>
      <c:layout>
        <c:manualLayout>
          <c:xMode val="edge"/>
          <c:yMode val="edge"/>
          <c:x val="0.32580555555555557"/>
          <c:y val="3.2407484861159096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75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Abaco!$K$41:$K$49</c:f>
              <c:numCache>
                <c:formatCode>General" m/s"</c:formatCode>
                <c:ptCount val="9"/>
                <c:pt idx="0">
                  <c:v>667.23943222055664</c:v>
                </c:pt>
                <c:pt idx="1">
                  <c:v>537.55005061830332</c:v>
                </c:pt>
                <c:pt idx="2">
                  <c:v>413.51644959961146</c:v>
                </c:pt>
                <c:pt idx="3">
                  <c:v>324.38036510695292</c:v>
                </c:pt>
                <c:pt idx="4">
                  <c:v>261.4627407491862</c:v>
                </c:pt>
                <c:pt idx="5">
                  <c:v>215.74938181715726</c:v>
                </c:pt>
                <c:pt idx="6">
                  <c:v>181.39066695519853</c:v>
                </c:pt>
                <c:pt idx="7">
                  <c:v>154.76649871322277</c:v>
                </c:pt>
                <c:pt idx="8">
                  <c:v>133.59416764595909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6A-1547-920C-707F56EFF605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120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Abaco!$K$50:$K$58</c:f>
              <c:numCache>
                <c:formatCode>General" m/s"</c:formatCode>
                <c:ptCount val="9"/>
                <c:pt idx="0">
                  <c:v>430.17561504613184</c:v>
                </c:pt>
                <c:pt idx="1">
                  <c:v>398.54176242435722</c:v>
                </c:pt>
                <c:pt idx="2">
                  <c:v>342.87161289576329</c:v>
                </c:pt>
                <c:pt idx="3">
                  <c:v>287.3933561647915</c:v>
                </c:pt>
                <c:pt idx="4">
                  <c:v>240.85052132761254</c:v>
                </c:pt>
                <c:pt idx="5">
                  <c:v>203.55358743133831</c:v>
                </c:pt>
                <c:pt idx="6">
                  <c:v>173.80016344622894</c:v>
                </c:pt>
                <c:pt idx="7">
                  <c:v>149.84262227734513</c:v>
                </c:pt>
                <c:pt idx="8">
                  <c:v>130.29077774416939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6A-1547-920C-707F56EFF605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180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Abaco!$K$59:$K$67</c:f>
              <c:numCache>
                <c:formatCode>General" m/s"</c:formatCode>
                <c:ptCount val="9"/>
                <c:pt idx="0">
                  <c:v>287.59804058255929</c:v>
                </c:pt>
                <c:pt idx="1">
                  <c:v>280.20778034001256</c:v>
                </c:pt>
                <c:pt idx="2">
                  <c:v>262.21300216353927</c:v>
                </c:pt>
                <c:pt idx="3">
                  <c:v>236.37013372677038</c:v>
                </c:pt>
                <c:pt idx="4">
                  <c:v>208.82305247707566</c:v>
                </c:pt>
                <c:pt idx="5">
                  <c:v>183.09261015040801</c:v>
                </c:pt>
                <c:pt idx="6">
                  <c:v>160.39655269372869</c:v>
                </c:pt>
                <c:pt idx="7">
                  <c:v>140.83495257742433</c:v>
                </c:pt>
                <c:pt idx="8">
                  <c:v>124.09350247424302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A-1547-920C-707F56E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15968"/>
        <c:axId val="1"/>
      </c:scatterChart>
      <c:valAx>
        <c:axId val="1764915968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35"/>
              <c:y val="0.80923605680929611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Abaco!$B$74</c:f>
              <c:strCache>
                <c:ptCount val="1"/>
                <c:pt idx="0">
                  <c:v>Vitesse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22378207343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/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15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79253351905304"/>
          <c:y val="0.19266706401523412"/>
          <c:w val="0.19231382461027713"/>
          <c:h val="0.24771479659101528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Abaco!$B$77</c:f>
          <c:strCache>
            <c:ptCount val="1"/>
            <c:pt idx="0">
              <c:v>Altitude max / Masse totale</c:v>
            </c:pt>
          </c:strCache>
        </c:strRef>
      </c:tx>
      <c:layout>
        <c:manualLayout>
          <c:xMode val="edge"/>
          <c:yMode val="edge"/>
          <c:x val="0.32580555555555557"/>
          <c:y val="3.2407517456544348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75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Abaco!$L$41:$L$49</c:f>
              <c:numCache>
                <c:formatCode>General" m"</c:formatCode>
                <c:ptCount val="9"/>
                <c:pt idx="0">
                  <c:v>4089.4196162940484</c:v>
                </c:pt>
                <c:pt idx="1">
                  <c:v>4552.5921121080446</c:v>
                </c:pt>
                <c:pt idx="2">
                  <c:v>4303.516041679286</c:v>
                </c:pt>
                <c:pt idx="3">
                  <c:v>3696.3214499644509</c:v>
                </c:pt>
                <c:pt idx="4">
                  <c:v>3003.0485764603877</c:v>
                </c:pt>
                <c:pt idx="5">
                  <c:v>2374.8498090987191</c:v>
                </c:pt>
                <c:pt idx="6">
                  <c:v>1863.1041338654638</c:v>
                </c:pt>
                <c:pt idx="7">
                  <c:v>1465.8141249302701</c:v>
                </c:pt>
                <c:pt idx="8">
                  <c:v>1162.6092633040494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E-854A-A2A4-035D919DB043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120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Abaco!$L$50:$L$58</c:f>
              <c:numCache>
                <c:formatCode>General" m"</c:formatCode>
                <c:ptCount val="9"/>
                <c:pt idx="0">
                  <c:v>2357.0678788831392</c:v>
                </c:pt>
                <c:pt idx="1">
                  <c:v>2582.4475806141813</c:v>
                </c:pt>
                <c:pt idx="2">
                  <c:v>2574.7072200942944</c:v>
                </c:pt>
                <c:pt idx="3">
                  <c:v>2403.0283539710263</c:v>
                </c:pt>
                <c:pt idx="4">
                  <c:v>2135.5380405154929</c:v>
                </c:pt>
                <c:pt idx="5">
                  <c:v>1832.5746378028741</c:v>
                </c:pt>
                <c:pt idx="6">
                  <c:v>1537.1332755233298</c:v>
                </c:pt>
                <c:pt idx="7">
                  <c:v>1272.9178065534381</c:v>
                </c:pt>
                <c:pt idx="8">
                  <c:v>1048.4727870631598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E-854A-A2A4-035D919DB043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180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Abaco!$L$59:$L$67</c:f>
              <c:numCache>
                <c:formatCode>General" m"</c:formatCode>
                <c:ptCount val="9"/>
                <c:pt idx="0">
                  <c:v>1496.3859738377337</c:v>
                </c:pt>
                <c:pt idx="1">
                  <c:v>1597.5176344852925</c:v>
                </c:pt>
                <c:pt idx="2">
                  <c:v>1612.8582034051144</c:v>
                </c:pt>
                <c:pt idx="3">
                  <c:v>1563.3276305083114</c:v>
                </c:pt>
                <c:pt idx="4">
                  <c:v>1464.1411569838601</c:v>
                </c:pt>
                <c:pt idx="5">
                  <c:v>1332.1366545170454</c:v>
                </c:pt>
                <c:pt idx="6">
                  <c:v>1183.8050134865914</c:v>
                </c:pt>
                <c:pt idx="7">
                  <c:v>1033.0136920852203</c:v>
                </c:pt>
                <c:pt idx="8">
                  <c:v>889.68982354822788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1E-854A-A2A4-035D919D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63536"/>
        <c:axId val="1"/>
      </c:scatterChart>
      <c:valAx>
        <c:axId val="176496353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2650918635"/>
              <c:y val="0.80923599762293863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Abaco!$B$76</c:f>
              <c:strCache>
                <c:ptCount val="1"/>
                <c:pt idx="0">
                  <c:v>Altitude max</c:v>
                </c:pt>
              </c:strCache>
            </c:strRef>
          </c:tx>
          <c:layout>
            <c:manualLayout>
              <c:xMode val="edge"/>
              <c:yMode val="edge"/>
              <c:x val="0.14166666666666666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m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63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822834919091606"/>
          <c:y val="0.19457634243306321"/>
          <c:w val="0.19231382461027713"/>
          <c:h val="0.2443516858461724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Abaco!$B$79</c:f>
          <c:strCache>
            <c:ptCount val="1"/>
            <c:pt idx="0">
              <c:v>Temps de culmination / Masse totale</c:v>
            </c:pt>
          </c:strCache>
        </c:strRef>
      </c:tx>
      <c:layout>
        <c:manualLayout>
          <c:xMode val="edge"/>
          <c:yMode val="edge"/>
          <c:x val="0.18369438576275526"/>
          <c:y val="3.2407517456544348E-2"/>
        </c:manualLayout>
      </c:layout>
      <c:overlay val="1"/>
      <c:txPr>
        <a:bodyPr/>
        <a:lstStyle/>
        <a:p>
          <a:pPr>
            <a:defRPr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612729658792733"/>
          <c:y val="5.1400554097404488E-2"/>
          <c:w val="0.81367125984251965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Abaco!$B$41</c:f>
              <c:strCache>
                <c:ptCount val="1"/>
                <c:pt idx="0">
                  <c:v>Ø = 75 mm</c:v>
                </c:pt>
              </c:strCache>
            </c:strRef>
          </c:tx>
          <c:xVal>
            <c:numRef>
              <c:f>Abaco!$D$41:$D$49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Abaco!$M$41:$M$49</c:f>
              <c:numCache>
                <c:formatCode>General" s"</c:formatCode>
                <c:ptCount val="9"/>
                <c:pt idx="0">
                  <c:v>19.108714737865654</c:v>
                </c:pt>
                <c:pt idx="1">
                  <c:v>24.882470910291421</c:v>
                </c:pt>
                <c:pt idx="2">
                  <c:v>26.9603048939804</c:v>
                </c:pt>
                <c:pt idx="3">
                  <c:v>26.804760538276721</c:v>
                </c:pt>
                <c:pt idx="4">
                  <c:v>25.375923345741228</c:v>
                </c:pt>
                <c:pt idx="5">
                  <c:v>23.40171188342805</c:v>
                </c:pt>
                <c:pt idx="6">
                  <c:v>21.335471668077336</c:v>
                </c:pt>
                <c:pt idx="7">
                  <c:v>19.39876659959176</c:v>
                </c:pt>
                <c:pt idx="8">
                  <c:v>17.671077409339315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47-A64B-83D1-484ECF67F6C4}"/>
            </c:ext>
          </c:extLst>
        </c:ser>
        <c:ser>
          <c:idx val="1"/>
          <c:order val="1"/>
          <c:tx>
            <c:strRef>
              <c:f>Abaco!$B$50</c:f>
              <c:strCache>
                <c:ptCount val="1"/>
                <c:pt idx="0">
                  <c:v>Ø = 120 mm</c:v>
                </c:pt>
              </c:strCache>
            </c:strRef>
          </c:tx>
          <c:xVal>
            <c:numRef>
              <c:f>Abaco!$D$50:$D$58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Abaco!$M$50:$M$58</c:f>
              <c:numCache>
                <c:formatCode>General" s"</c:formatCode>
                <c:ptCount val="9"/>
                <c:pt idx="0">
                  <c:v>13.726227502425294</c:v>
                </c:pt>
                <c:pt idx="1">
                  <c:v>17.715416857260223</c:v>
                </c:pt>
                <c:pt idx="2">
                  <c:v>19.810549046885974</c:v>
                </c:pt>
                <c:pt idx="3">
                  <c:v>20.679779020378305</c:v>
                </c:pt>
                <c:pt idx="4">
                  <c:v>20.653001416633266</c:v>
                </c:pt>
                <c:pt idx="5">
                  <c:v>20.011610257855587</c:v>
                </c:pt>
                <c:pt idx="6">
                  <c:v>19.005394229704244</c:v>
                </c:pt>
                <c:pt idx="7">
                  <c:v>17.831403176596414</c:v>
                </c:pt>
                <c:pt idx="8">
                  <c:v>16.623569527995201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47-A64B-83D1-484ECF67F6C4}"/>
            </c:ext>
          </c:extLst>
        </c:ser>
        <c:ser>
          <c:idx val="2"/>
          <c:order val="2"/>
          <c:tx>
            <c:strRef>
              <c:f>Abaco!$B$59</c:f>
              <c:strCache>
                <c:ptCount val="1"/>
                <c:pt idx="0">
                  <c:v>Ø = 180 mm</c:v>
                </c:pt>
              </c:strCache>
            </c:strRef>
          </c:tx>
          <c:xVal>
            <c:numRef>
              <c:f>Abaco!$D$59:$D$67</c:f>
              <c:numCache>
                <c:formatCode>General\ "kg"</c:formatCode>
                <c:ptCount val="9"/>
                <c:pt idx="0">
                  <c:v>3.5110000000000001</c:v>
                </c:pt>
                <c:pt idx="1">
                  <c:v>5.7610000000000001</c:v>
                </c:pt>
                <c:pt idx="2">
                  <c:v>8.0109999999999992</c:v>
                </c:pt>
                <c:pt idx="3">
                  <c:v>10.260999999999999</c:v>
                </c:pt>
                <c:pt idx="4">
                  <c:v>12.510999999999999</c:v>
                </c:pt>
                <c:pt idx="5">
                  <c:v>14.760999999999999</c:v>
                </c:pt>
                <c:pt idx="6">
                  <c:v>17.010999999999999</c:v>
                </c:pt>
                <c:pt idx="7">
                  <c:v>19.260999999999999</c:v>
                </c:pt>
                <c:pt idx="8">
                  <c:v>21.510999999999999</c:v>
                </c:pt>
              </c:numCache>
            </c:numRef>
          </c:xVal>
          <c:yVal>
            <c:numRef>
              <c:f>Abaco!$M$59:$M$67</c:f>
              <c:numCache>
                <c:formatCode>General" s"</c:formatCode>
                <c:ptCount val="9"/>
                <c:pt idx="0">
                  <c:v>10.712512319597954</c:v>
                </c:pt>
                <c:pt idx="1">
                  <c:v>13.4471119308811</c:v>
                </c:pt>
                <c:pt idx="2">
                  <c:v>15.099415143863752</c:v>
                </c:pt>
                <c:pt idx="3">
                  <c:v>16.087552995781902</c:v>
                </c:pt>
                <c:pt idx="4">
                  <c:v>16.551711128655491</c:v>
                </c:pt>
                <c:pt idx="5">
                  <c:v>16.591824038350218</c:v>
                </c:pt>
                <c:pt idx="6">
                  <c:v>16.303558652020349</c:v>
                </c:pt>
                <c:pt idx="7">
                  <c:v>15.781040530418018</c:v>
                </c:pt>
                <c:pt idx="8">
                  <c:v>15.110378215700704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47-A64B-83D1-484ECF67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99296"/>
        <c:axId val="1"/>
      </c:scatterChart>
      <c:valAx>
        <c:axId val="1764999296"/>
        <c:scaling>
          <c:orientation val="minMax"/>
        </c:scaling>
        <c:delete val="0"/>
        <c:axPos val="b"/>
        <c:majorGridlines/>
        <c:title>
          <c:tx>
            <c:strRef>
              <c:f>Abaco!$B$73</c:f>
              <c:strCache>
                <c:ptCount val="1"/>
                <c:pt idx="0">
                  <c:v>Masse totale</c:v>
                </c:pt>
              </c:strCache>
            </c:strRef>
          </c:tx>
          <c:layout>
            <c:manualLayout>
              <c:xMode val="edge"/>
              <c:yMode val="edge"/>
              <c:x val="0.2513379425132834"/>
              <c:y val="0.80923599762293863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\ &quot;kg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strRef>
              <c:f>Abaco!$B$78</c:f>
              <c:strCache>
                <c:ptCount val="1"/>
                <c:pt idx="0">
                  <c:v>Temps de culmination</c:v>
                </c:pt>
              </c:strCache>
            </c:strRef>
          </c:tx>
          <c:layout>
            <c:manualLayout>
              <c:xMode val="edge"/>
              <c:yMode val="edge"/>
              <c:x val="0.14166677336064698"/>
              <c:y val="5.8034467389689502E-2"/>
            </c:manualLayout>
          </c:layout>
          <c:overlay val="0"/>
          <c:txPr>
            <a:bodyPr/>
            <a:lstStyle/>
            <a:p>
              <a:pPr>
                <a:defRPr sz="1000" b="1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defRPr>
              </a:pPr>
              <a:endParaRPr lang="fr-FR"/>
            </a:p>
          </c:txPr>
        </c:title>
        <c:numFmt formatCode="General&quot; s&quot;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7649992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06971728612397"/>
          <c:y val="0.19457634243306321"/>
          <c:w val="0.18703852547642652"/>
          <c:h val="0.24435168584617242"/>
        </c:manualLayout>
      </c:layout>
      <c:overlay val="0"/>
      <c:spPr>
        <a:solidFill>
          <a:schemeClr val="bg1"/>
        </a:solidFill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189" l="0.70000000000000062" r="0.70000000000000062" t="0.75000000000000189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Spin" dx="15" fmlaLink="$C$22" inc="25" max="30000" noThreeD="1" page="10" val="280"/>
</file>

<file path=xl/ctrlProps/ctrlProp2.xml><?xml version="1.0" encoding="utf-8"?>
<formControlPr xmlns="http://schemas.microsoft.com/office/spreadsheetml/2009/9/main" objectType="Spin" dx="15" fmlaLink="$C$11" inc="100" max="30000" noThreeD="1" page="10" val="9000"/>
</file>

<file path=xl/ctrlProps/ctrlProp3.xml><?xml version="1.0" encoding="utf-8"?>
<formControlPr xmlns="http://schemas.microsoft.com/office/spreadsheetml/2009/9/main" objectType="Spin" dx="15" fmlaLink="$C$12" inc="50" max="30000" noThreeD="1" page="10" val="709"/>
</file>

<file path=xl/ctrlProps/ctrlProp4.xml><?xml version="1.0" encoding="utf-8"?>
<formControlPr xmlns="http://schemas.microsoft.com/office/spreadsheetml/2009/9/main" objectType="Spin" dx="15" fmlaLink="$C$23" inc="20" max="30000" noThreeD="1" page="10" val="64"/>
</file>

<file path=xl/ctrlProps/ctrlProp5.xml><?xml version="1.0" encoding="utf-8"?>
<formControlPr xmlns="http://schemas.microsoft.com/office/spreadsheetml/2009/9/main" objectType="Spin" dx="15" fmlaLink="$C$27" inc="10" max="30000" noThreeD="1" page="10" val="264"/>
</file>

<file path=xl/ctrlProps/ctrlProp6.xml><?xml version="1.0" encoding="utf-8"?>
<formControlPr xmlns="http://schemas.microsoft.com/office/spreadsheetml/2009/9/main" objectType="Spin" dx="15" fmlaLink="$C$28" inc="10" max="30000" noThreeD="1" page="10" val="110"/>
</file>

<file path=xl/ctrlProps/ctrlProp7.xml><?xml version="1.0" encoding="utf-8"?>
<formControlPr xmlns="http://schemas.microsoft.com/office/spreadsheetml/2009/9/main" objectType="Spin" dx="15" fmlaLink="$C$29" inc="10" max="30000" noThreeD="1" page="10" val="214"/>
</file>

<file path=xl/ctrlProps/ctrlProp8.xml><?xml version="1.0" encoding="utf-8"?>
<formControlPr xmlns="http://schemas.microsoft.com/office/spreadsheetml/2009/9/main" objectType="Spin" dx="15" fmlaLink="$C$30" inc="10" max="30000" noThreeD="1" page="10" val="159"/>
</file>

<file path=xl/ctrlProps/ctrlProp9.xml><?xml version="1.0" encoding="utf-8"?>
<formControlPr xmlns="http://schemas.microsoft.com/office/spreadsheetml/2009/9/main" objectType="Spin" dx="15" fmlaLink="$C$31" max="30000" noThreeD="1" page="10" val="4"/>
</file>

<file path=xl/ctrlProps/ctrlProp10.xml><?xml version="1.0" encoding="utf-8"?>
<formControlPr xmlns="http://schemas.microsoft.com/office/spreadsheetml/2009/9/main" objectType="Spin" dx="15" fmlaLink="$C$32" max="6" min="3" noThreeD="1" page="10" val="4"/>
</file>

<file path=xl/ctrlProps/ctrlProp11.xml><?xml version="1.0" encoding="utf-8"?>
<formControlPr xmlns="http://schemas.microsoft.com/office/spreadsheetml/2009/9/main" objectType="Spin" dx="15" fmlaLink="$C$13" inc="50" max="30000" noThreeD="1" page="10" val="1800"/>
</file>

<file path=xl/ctrlProps/ctrlProp12.xml><?xml version="1.0" encoding="utf-8"?>
<formControlPr xmlns="http://schemas.microsoft.com/office/spreadsheetml/2009/9/main" objectType="Spin" dx="15" fmlaLink="$C$11" inc="100" max="30000" noThreeD="1" page="10" val="9000"/>
</file>

<file path=xl/ctrlProps/ctrlProp13.xml><?xml version="1.0" encoding="utf-8"?>
<formControlPr xmlns="http://schemas.microsoft.com/office/spreadsheetml/2009/9/main" objectType="Spin" dx="15" fmlaLink="$C$11" inc="100" max="30000" noThreeD="1" page="10" val="9000"/>
</file>

<file path=xl/ctrlProps/ctrlProp14.xml><?xml version="1.0" encoding="utf-8"?>
<formControlPr xmlns="http://schemas.microsoft.com/office/spreadsheetml/2009/9/main" objectType="Spin" dx="15" fmlaLink="Stabilito!C11" inc="100" max="30000" noThreeD="1" page="10" val="9000"/>
</file>

<file path=xl/ctrlProps/ctrlProp15.xml><?xml version="1.0" encoding="utf-8"?>
<formControlPr xmlns="http://schemas.microsoft.com/office/spreadsheetml/2009/9/main" objectType="Spin" dx="15" fmlaLink="$B$43" inc="50" max="30000" noThreeD="1" page="10" val="549"/>
</file>

<file path=xl/ctrlProps/ctrlProp16.xml><?xml version="1.0" encoding="utf-8"?>
<formControlPr xmlns="http://schemas.microsoft.com/office/spreadsheetml/2009/9/main" objectType="Spin" dx="15" fmlaLink="$B$45" inc="50" max="30000" noThreeD="1" page="10" val="549"/>
</file>

<file path=xl/ctrlProps/ctrlProp17.xml><?xml version="1.0" encoding="utf-8"?>
<formControlPr xmlns="http://schemas.microsoft.com/office/spreadsheetml/2009/9/main" objectType="Spin" dx="15" fmlaLink="$B$51" inc="50" max="30000" noThreeD="1" page="10" val="299"/>
</file>

<file path=xl/ctrlProps/ctrlProp18.xml><?xml version="1.0" encoding="utf-8"?>
<formControlPr xmlns="http://schemas.microsoft.com/office/spreadsheetml/2009/9/main" objectType="Spin" dx="15" fmlaLink="$B$53" inc="5" max="30000" noThreeD="1" page="10" val="29"/>
</file>

<file path=xl/ctrlProps/ctrlProp19.xml><?xml version="1.0" encoding="utf-8"?>
<formControlPr xmlns="http://schemas.microsoft.com/office/spreadsheetml/2009/9/main" objectType="Spin" dx="15" fmlaLink="Stabilito!C11" inc="100" max="30000" noThreeD="1" page="10" val="9000"/>
</file>

<file path=xl/ctrlProps/ctrlProp20.xml><?xml version="1.0" encoding="utf-8"?>
<formControlPr xmlns="http://schemas.microsoft.com/office/spreadsheetml/2009/9/main" objectType="Spin" dx="15" fmlaLink="Stabilito!C11" inc="100" max="30000" noThreeD="1" page="10" val="900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3.png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9.emf"/><Relationship Id="rId18" Type="http://schemas.openxmlformats.org/officeDocument/2006/relationships/image" Target="../media/image24.emf"/><Relationship Id="rId26" Type="http://schemas.openxmlformats.org/officeDocument/2006/relationships/image" Target="../media/image32.emf"/><Relationship Id="rId3" Type="http://schemas.openxmlformats.org/officeDocument/2006/relationships/image" Target="../media/image9.emf"/><Relationship Id="rId21" Type="http://schemas.openxmlformats.org/officeDocument/2006/relationships/image" Target="../media/image27.emf"/><Relationship Id="rId34" Type="http://schemas.openxmlformats.org/officeDocument/2006/relationships/image" Target="../media/image40.emf"/><Relationship Id="rId7" Type="http://schemas.openxmlformats.org/officeDocument/2006/relationships/image" Target="../media/image13.emf"/><Relationship Id="rId12" Type="http://schemas.openxmlformats.org/officeDocument/2006/relationships/image" Target="../media/image18.emf"/><Relationship Id="rId17" Type="http://schemas.openxmlformats.org/officeDocument/2006/relationships/image" Target="../media/image23.emf"/><Relationship Id="rId25" Type="http://schemas.openxmlformats.org/officeDocument/2006/relationships/image" Target="../media/image31.emf"/><Relationship Id="rId33" Type="http://schemas.openxmlformats.org/officeDocument/2006/relationships/image" Target="../media/image39.emf"/><Relationship Id="rId2" Type="http://schemas.openxmlformats.org/officeDocument/2006/relationships/image" Target="../media/image8.emf"/><Relationship Id="rId16" Type="http://schemas.openxmlformats.org/officeDocument/2006/relationships/image" Target="../media/image22.emf"/><Relationship Id="rId20" Type="http://schemas.openxmlformats.org/officeDocument/2006/relationships/image" Target="../media/image26.emf"/><Relationship Id="rId29" Type="http://schemas.openxmlformats.org/officeDocument/2006/relationships/image" Target="../media/image35.emf"/><Relationship Id="rId1" Type="http://schemas.openxmlformats.org/officeDocument/2006/relationships/image" Target="../media/image7.emf"/><Relationship Id="rId6" Type="http://schemas.openxmlformats.org/officeDocument/2006/relationships/image" Target="../media/image12.emf"/><Relationship Id="rId11" Type="http://schemas.openxmlformats.org/officeDocument/2006/relationships/image" Target="../media/image17.emf"/><Relationship Id="rId24" Type="http://schemas.openxmlformats.org/officeDocument/2006/relationships/image" Target="../media/image30.emf"/><Relationship Id="rId32" Type="http://schemas.openxmlformats.org/officeDocument/2006/relationships/image" Target="../media/image38.emf"/><Relationship Id="rId5" Type="http://schemas.openxmlformats.org/officeDocument/2006/relationships/image" Target="../media/image11.emf"/><Relationship Id="rId15" Type="http://schemas.openxmlformats.org/officeDocument/2006/relationships/image" Target="../media/image21.emf"/><Relationship Id="rId23" Type="http://schemas.openxmlformats.org/officeDocument/2006/relationships/image" Target="../media/image29.emf"/><Relationship Id="rId28" Type="http://schemas.openxmlformats.org/officeDocument/2006/relationships/image" Target="../media/image34.emf"/><Relationship Id="rId36" Type="http://schemas.openxmlformats.org/officeDocument/2006/relationships/image" Target="../media/image42.emf"/><Relationship Id="rId10" Type="http://schemas.openxmlformats.org/officeDocument/2006/relationships/image" Target="../media/image16.emf"/><Relationship Id="rId19" Type="http://schemas.openxmlformats.org/officeDocument/2006/relationships/image" Target="../media/image25.emf"/><Relationship Id="rId31" Type="http://schemas.openxmlformats.org/officeDocument/2006/relationships/image" Target="../media/image37.emf"/><Relationship Id="rId4" Type="http://schemas.openxmlformats.org/officeDocument/2006/relationships/image" Target="../media/image10.emf"/><Relationship Id="rId9" Type="http://schemas.openxmlformats.org/officeDocument/2006/relationships/image" Target="../media/image15.emf"/><Relationship Id="rId14" Type="http://schemas.openxmlformats.org/officeDocument/2006/relationships/image" Target="../media/image20.emf"/><Relationship Id="rId22" Type="http://schemas.openxmlformats.org/officeDocument/2006/relationships/image" Target="../media/image28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Relationship Id="rId35" Type="http://schemas.openxmlformats.org/officeDocument/2006/relationships/image" Target="../media/image41.emf"/><Relationship Id="rId8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25400</xdr:colOff>
      <xdr:row>1</xdr:row>
      <xdr:rowOff>25400</xdr:rowOff>
    </xdr:from>
    <xdr:to>
      <xdr:col>12</xdr:col>
      <xdr:colOff>533400</xdr:colOff>
      <xdr:row>1</xdr:row>
      <xdr:rowOff>139700</xdr:rowOff>
    </xdr:to>
    <xdr:grpSp>
      <xdr:nvGrpSpPr>
        <xdr:cNvPr id="5097044" name="Groupe 1">
          <a:extLst>
            <a:ext uri="{FF2B5EF4-FFF2-40B4-BE49-F238E27FC236}">
              <a16:creationId xmlns:a16="http://schemas.microsoft.com/office/drawing/2014/main" id="{00000000-0008-0000-0000-000054C64D00}"/>
            </a:ext>
          </a:extLst>
        </xdr:cNvPr>
        <xdr:cNvGrpSpPr>
          <a:grpSpLocks/>
        </xdr:cNvGrpSpPr>
      </xdr:nvGrpSpPr>
      <xdr:grpSpPr bwMode="auto">
        <a:xfrm>
          <a:off x="7735047" y="182282"/>
          <a:ext cx="508000" cy="114300"/>
          <a:chOff x="7067550" y="190500"/>
          <a:chExt cx="438150" cy="114300"/>
        </a:xfrm>
      </xdr:grpSpPr>
      <xdr:pic>
        <xdr:nvPicPr>
          <xdr:cNvPr id="5097050" name="Image 1">
            <a:extLst>
              <a:ext uri="{FF2B5EF4-FFF2-40B4-BE49-F238E27FC236}">
                <a16:creationId xmlns:a16="http://schemas.microsoft.com/office/drawing/2014/main" id="{00000000-0008-0000-0000-00005A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67550" y="190500"/>
            <a:ext cx="171450" cy="114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097051" name="Image 2">
            <a:extLst>
              <a:ext uri="{FF2B5EF4-FFF2-40B4-BE49-F238E27FC236}">
                <a16:creationId xmlns:a16="http://schemas.microsoft.com/office/drawing/2014/main" id="{00000000-0008-0000-0000-00005BC64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77100" y="190500"/>
            <a:ext cx="228600" cy="114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304800</xdr:colOff>
      <xdr:row>1</xdr:row>
      <xdr:rowOff>0</xdr:rowOff>
    </xdr:from>
    <xdr:to>
      <xdr:col>10</xdr:col>
      <xdr:colOff>0</xdr:colOff>
      <xdr:row>24</xdr:row>
      <xdr:rowOff>0</xdr:rowOff>
    </xdr:to>
    <xdr:graphicFrame macro="">
      <xdr:nvGraphicFramePr>
        <xdr:cNvPr id="5097045" name="Graphique 9">
          <a:extLst>
            <a:ext uri="{FF2B5EF4-FFF2-40B4-BE49-F238E27FC236}">
              <a16:creationId xmlns:a16="http://schemas.microsoft.com/office/drawing/2014/main" id="{00000000-0008-0000-0000-000055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16</xdr:col>
      <xdr:colOff>0</xdr:colOff>
      <xdr:row>35</xdr:row>
      <xdr:rowOff>0</xdr:rowOff>
    </xdr:to>
    <xdr:graphicFrame macro="">
      <xdr:nvGraphicFramePr>
        <xdr:cNvPr id="5097046" name="Graphique 19">
          <a:extLst>
            <a:ext uri="{FF2B5EF4-FFF2-40B4-BE49-F238E27FC236}">
              <a16:creationId xmlns:a16="http://schemas.microsoft.com/office/drawing/2014/main" id="{00000000-0008-0000-0000-000056C6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4</xdr:row>
      <xdr:rowOff>149831</xdr:rowOff>
    </xdr:to>
    <xdr:pic>
      <xdr:nvPicPr>
        <xdr:cNvPr id="5097047" name="Picture 8" descr="logoplasci">
          <a:extLst>
            <a:ext uri="{FF2B5EF4-FFF2-40B4-BE49-F238E27FC236}">
              <a16:creationId xmlns:a16="http://schemas.microsoft.com/office/drawing/2014/main" id="{00000000-0008-0000-0000-000057C64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52400"/>
          <a:ext cx="1079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927100</xdr:colOff>
      <xdr:row>48</xdr:row>
      <xdr:rowOff>63500</xdr:rowOff>
    </xdr:to>
    <xdr:pic>
      <xdr:nvPicPr>
        <xdr:cNvPr id="5097048" name="Image 1">
          <a:extLst>
            <a:ext uri="{FF2B5EF4-FFF2-40B4-BE49-F238E27FC236}">
              <a16:creationId xmlns:a16="http://schemas.microsoft.com/office/drawing/2014/main" id="{00000000-0008-0000-0000-000058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5638800"/>
          <a:ext cx="2171700" cy="187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3</xdr:row>
      <xdr:rowOff>12700</xdr:rowOff>
    </xdr:from>
    <xdr:to>
      <xdr:col>20</xdr:col>
      <xdr:colOff>609600</xdr:colOff>
      <xdr:row>9</xdr:row>
      <xdr:rowOff>12700</xdr:rowOff>
    </xdr:to>
    <xdr:pic>
      <xdr:nvPicPr>
        <xdr:cNvPr id="5097049" name="Image 2">
          <a:extLst>
            <a:ext uri="{FF2B5EF4-FFF2-40B4-BE49-F238E27FC236}">
              <a16:creationId xmlns:a16="http://schemas.microsoft.com/office/drawing/2014/main" id="{00000000-0008-0000-0000-000059C6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469900"/>
          <a:ext cx="2336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812800</xdr:colOff>
          <xdr:row>21</xdr:row>
          <xdr:rowOff>12700</xdr:rowOff>
        </xdr:from>
        <xdr:to>
          <xdr:col>4</xdr:col>
          <xdr:colOff>0</xdr:colOff>
          <xdr:row>22</xdr:row>
          <xdr:rowOff>0</xdr:rowOff>
        </xdr:to>
        <xdr:sp macro="" textlink="">
          <xdr:nvSpPr>
            <xdr:cNvPr id="36775" name="Spinner 935" hidden="1">
              <a:extLst>
                <a:ext uri="{63B3BB69-23CF-44E3-9099-C40C66FF867C}">
                  <a14:compatExt spid="_x0000_s36775"/>
                </a:ext>
                <a:ext uri="{FF2B5EF4-FFF2-40B4-BE49-F238E27FC236}">
                  <a16:creationId xmlns:a16="http://schemas.microsoft.com/office/drawing/2014/main" id="{00000000-0008-0000-0000-0000A7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10</xdr:row>
          <xdr:rowOff>12700</xdr:rowOff>
        </xdr:from>
        <xdr:to>
          <xdr:col>3</xdr:col>
          <xdr:colOff>0</xdr:colOff>
          <xdr:row>11</xdr:row>
          <xdr:rowOff>0</xdr:rowOff>
        </xdr:to>
        <xdr:sp macro="" textlink="">
          <xdr:nvSpPr>
            <xdr:cNvPr id="36781" name="Spinner 941" hidden="1">
              <a:extLst>
                <a:ext uri="{63B3BB69-23CF-44E3-9099-C40C66FF867C}">
                  <a14:compatExt spid="_x0000_s36781"/>
                </a:ext>
                <a:ext uri="{FF2B5EF4-FFF2-40B4-BE49-F238E27FC236}">
                  <a16:creationId xmlns:a16="http://schemas.microsoft.com/office/drawing/2014/main" id="{00000000-0008-0000-0000-0000A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11</xdr:row>
          <xdr:rowOff>12700</xdr:rowOff>
        </xdr:from>
        <xdr:to>
          <xdr:col>3</xdr:col>
          <xdr:colOff>0</xdr:colOff>
          <xdr:row>12</xdr:row>
          <xdr:rowOff>0</xdr:rowOff>
        </xdr:to>
        <xdr:sp macro="" textlink="">
          <xdr:nvSpPr>
            <xdr:cNvPr id="36782" name="Spinner 942" hidden="1">
              <a:extLst>
                <a:ext uri="{63B3BB69-23CF-44E3-9099-C40C66FF867C}">
                  <a14:compatExt spid="_x0000_s36782"/>
                </a:ext>
                <a:ext uri="{FF2B5EF4-FFF2-40B4-BE49-F238E27FC236}">
                  <a16:creationId xmlns:a16="http://schemas.microsoft.com/office/drawing/2014/main" id="{00000000-0008-0000-0000-0000A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812800</xdr:colOff>
          <xdr:row>22</xdr:row>
          <xdr:rowOff>12700</xdr:rowOff>
        </xdr:from>
        <xdr:to>
          <xdr:col>4</xdr:col>
          <xdr:colOff>0</xdr:colOff>
          <xdr:row>23</xdr:row>
          <xdr:rowOff>0</xdr:rowOff>
        </xdr:to>
        <xdr:sp macro="" textlink="">
          <xdr:nvSpPr>
            <xdr:cNvPr id="36783" name="Spinner 943" hidden="1">
              <a:extLst>
                <a:ext uri="{63B3BB69-23CF-44E3-9099-C40C66FF867C}">
                  <a14:compatExt spid="_x0000_s36783"/>
                </a:ext>
                <a:ext uri="{FF2B5EF4-FFF2-40B4-BE49-F238E27FC236}">
                  <a16:creationId xmlns:a16="http://schemas.microsoft.com/office/drawing/2014/main" id="{00000000-0008-0000-0000-0000A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26</xdr:row>
          <xdr:rowOff>12700</xdr:rowOff>
        </xdr:from>
        <xdr:to>
          <xdr:col>3</xdr:col>
          <xdr:colOff>0</xdr:colOff>
          <xdr:row>27</xdr:row>
          <xdr:rowOff>0</xdr:rowOff>
        </xdr:to>
        <xdr:sp macro="" textlink="">
          <xdr:nvSpPr>
            <xdr:cNvPr id="36789" name="Spinner 949" hidden="1">
              <a:extLst>
                <a:ext uri="{63B3BB69-23CF-44E3-9099-C40C66FF867C}">
                  <a14:compatExt spid="_x0000_s36789"/>
                </a:ext>
                <a:ext uri="{FF2B5EF4-FFF2-40B4-BE49-F238E27FC236}">
                  <a16:creationId xmlns:a16="http://schemas.microsoft.com/office/drawing/2014/main" id="{00000000-0008-0000-0000-0000B5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27</xdr:row>
          <xdr:rowOff>12700</xdr:rowOff>
        </xdr:from>
        <xdr:to>
          <xdr:col>3</xdr:col>
          <xdr:colOff>0</xdr:colOff>
          <xdr:row>28</xdr:row>
          <xdr:rowOff>0</xdr:rowOff>
        </xdr:to>
        <xdr:sp macro="" textlink="">
          <xdr:nvSpPr>
            <xdr:cNvPr id="36795" name="Spinner 955" hidden="1">
              <a:extLst>
                <a:ext uri="{63B3BB69-23CF-44E3-9099-C40C66FF867C}">
                  <a14:compatExt spid="_x0000_s36795"/>
                </a:ext>
                <a:ext uri="{FF2B5EF4-FFF2-40B4-BE49-F238E27FC236}">
                  <a16:creationId xmlns:a16="http://schemas.microsoft.com/office/drawing/2014/main" id="{00000000-0008-0000-0000-0000BB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28</xdr:row>
          <xdr:rowOff>12700</xdr:rowOff>
        </xdr:from>
        <xdr:to>
          <xdr:col>3</xdr:col>
          <xdr:colOff>0</xdr:colOff>
          <xdr:row>29</xdr:row>
          <xdr:rowOff>0</xdr:rowOff>
        </xdr:to>
        <xdr:sp macro="" textlink="">
          <xdr:nvSpPr>
            <xdr:cNvPr id="36796" name="Spinner 956" hidden="1">
              <a:extLst>
                <a:ext uri="{63B3BB69-23CF-44E3-9099-C40C66FF867C}">
                  <a14:compatExt spid="_x0000_s36796"/>
                </a:ext>
                <a:ext uri="{FF2B5EF4-FFF2-40B4-BE49-F238E27FC236}">
                  <a16:creationId xmlns:a16="http://schemas.microsoft.com/office/drawing/2014/main" id="{00000000-0008-0000-0000-0000BC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29</xdr:row>
          <xdr:rowOff>12700</xdr:rowOff>
        </xdr:from>
        <xdr:to>
          <xdr:col>3</xdr:col>
          <xdr:colOff>0</xdr:colOff>
          <xdr:row>30</xdr:row>
          <xdr:rowOff>0</xdr:rowOff>
        </xdr:to>
        <xdr:sp macro="" textlink="">
          <xdr:nvSpPr>
            <xdr:cNvPr id="36797" name="Spinner 957" hidden="1">
              <a:extLst>
                <a:ext uri="{63B3BB69-23CF-44E3-9099-C40C66FF867C}">
                  <a14:compatExt spid="_x0000_s36797"/>
                </a:ext>
                <a:ext uri="{FF2B5EF4-FFF2-40B4-BE49-F238E27FC236}">
                  <a16:creationId xmlns:a16="http://schemas.microsoft.com/office/drawing/2014/main" id="{00000000-0008-0000-0000-0000BD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30</xdr:row>
          <xdr:rowOff>12700</xdr:rowOff>
        </xdr:from>
        <xdr:to>
          <xdr:col>3</xdr:col>
          <xdr:colOff>0</xdr:colOff>
          <xdr:row>31</xdr:row>
          <xdr:rowOff>0</xdr:rowOff>
        </xdr:to>
        <xdr:sp macro="" textlink="">
          <xdr:nvSpPr>
            <xdr:cNvPr id="36798" name="Spinner 958" hidden="1">
              <a:extLst>
                <a:ext uri="{63B3BB69-23CF-44E3-9099-C40C66FF867C}">
                  <a14:compatExt spid="_x0000_s36798"/>
                </a:ext>
                <a:ext uri="{FF2B5EF4-FFF2-40B4-BE49-F238E27FC236}">
                  <a16:creationId xmlns:a16="http://schemas.microsoft.com/office/drawing/2014/main" id="{00000000-0008-0000-0000-0000BE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812800</xdr:colOff>
          <xdr:row>31</xdr:row>
          <xdr:rowOff>12700</xdr:rowOff>
        </xdr:from>
        <xdr:to>
          <xdr:col>3</xdr:col>
          <xdr:colOff>0</xdr:colOff>
          <xdr:row>32</xdr:row>
          <xdr:rowOff>0</xdr:rowOff>
        </xdr:to>
        <xdr:sp macro="" textlink="">
          <xdr:nvSpPr>
            <xdr:cNvPr id="36799" name="Spinner 959" hidden="1">
              <a:extLst>
                <a:ext uri="{63B3BB69-23CF-44E3-9099-C40C66FF867C}">
                  <a14:compatExt spid="_x0000_s36799"/>
                </a:ext>
                <a:ext uri="{FF2B5EF4-FFF2-40B4-BE49-F238E27FC236}">
                  <a16:creationId xmlns:a16="http://schemas.microsoft.com/office/drawing/2014/main" id="{00000000-0008-0000-0000-0000BF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812800</xdr:colOff>
          <xdr:row>12</xdr:row>
          <xdr:rowOff>12700</xdr:rowOff>
        </xdr:from>
        <xdr:to>
          <xdr:col>4</xdr:col>
          <xdr:colOff>0</xdr:colOff>
          <xdr:row>13</xdr:row>
          <xdr:rowOff>0</xdr:rowOff>
        </xdr:to>
        <xdr:sp macro="" textlink="">
          <xdr:nvSpPr>
            <xdr:cNvPr id="36801" name="Spinner 961" hidden="1">
              <a:extLst>
                <a:ext uri="{63B3BB69-23CF-44E3-9099-C40C66FF867C}">
                  <a14:compatExt spid="_x0000_s36801"/>
                </a:ext>
                <a:ext uri="{FF2B5EF4-FFF2-40B4-BE49-F238E27FC236}">
                  <a16:creationId xmlns:a16="http://schemas.microsoft.com/office/drawing/2014/main" id="{00000000-0008-0000-0000-0000C18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12700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1" name="Spinner 3315" hidden="1">
              <a:extLst>
                <a:ext uri="{63B3BB69-23CF-44E3-9099-C40C66FF867C}">
                  <a14:compatExt spid="_x0000_s5096691"/>
                </a:ext>
                <a:ext uri="{FF2B5EF4-FFF2-40B4-BE49-F238E27FC236}">
                  <a16:creationId xmlns:a16="http://schemas.microsoft.com/office/drawing/2014/main" id="{00000000-0008-0000-0000-0000F3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35</xdr:row>
          <xdr:rowOff>12700</xdr:rowOff>
        </xdr:from>
        <xdr:to>
          <xdr:col>19</xdr:col>
          <xdr:colOff>0</xdr:colOff>
          <xdr:row>36</xdr:row>
          <xdr:rowOff>0</xdr:rowOff>
        </xdr:to>
        <xdr:sp macro="" textlink="">
          <xdr:nvSpPr>
            <xdr:cNvPr id="5096692" name="Spinner 3316" hidden="1">
              <a:extLst>
                <a:ext uri="{63B3BB69-23CF-44E3-9099-C40C66FF867C}">
                  <a14:compatExt spid="_x0000_s5096692"/>
                </a:ext>
                <a:ext uri="{FF2B5EF4-FFF2-40B4-BE49-F238E27FC236}">
                  <a16:creationId xmlns:a16="http://schemas.microsoft.com/office/drawing/2014/main" id="{00000000-0008-0000-0000-0000F4C44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9</xdr:col>
      <xdr:colOff>0</xdr:colOff>
      <xdr:row>20</xdr:row>
      <xdr:rowOff>0</xdr:rowOff>
    </xdr:to>
    <xdr:graphicFrame macro="">
      <xdr:nvGraphicFramePr>
        <xdr:cNvPr id="5605413" name="Graphique 1">
          <a:extLst>
            <a:ext uri="{FF2B5EF4-FFF2-40B4-BE49-F238E27FC236}">
              <a16:creationId xmlns:a16="http://schemas.microsoft.com/office/drawing/2014/main" id="{00000000-0008-0000-0100-000025885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5605414" name="Graphique 2">
          <a:extLst>
            <a:ext uri="{FF2B5EF4-FFF2-40B4-BE49-F238E27FC236}">
              <a16:creationId xmlns:a16="http://schemas.microsoft.com/office/drawing/2014/main" id="{00000000-0008-0000-0100-000026885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5</xdr:row>
      <xdr:rowOff>0</xdr:rowOff>
    </xdr:to>
    <xdr:pic>
      <xdr:nvPicPr>
        <xdr:cNvPr id="5605415" name="Picture 8" descr="logoplasci">
          <a:extLst>
            <a:ext uri="{FF2B5EF4-FFF2-40B4-BE49-F238E27FC236}">
              <a16:creationId xmlns:a16="http://schemas.microsoft.com/office/drawing/2014/main" id="{00000000-0008-0000-0100-0000278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38</xdr:row>
      <xdr:rowOff>114300</xdr:rowOff>
    </xdr:from>
    <xdr:to>
      <xdr:col>3</xdr:col>
      <xdr:colOff>787400</xdr:colOff>
      <xdr:row>46</xdr:row>
      <xdr:rowOff>0</xdr:rowOff>
    </xdr:to>
    <xdr:grpSp>
      <xdr:nvGrpSpPr>
        <xdr:cNvPr id="5605416" name="Groupe 1">
          <a:extLst>
            <a:ext uri="{FF2B5EF4-FFF2-40B4-BE49-F238E27FC236}">
              <a16:creationId xmlns:a16="http://schemas.microsoft.com/office/drawing/2014/main" id="{00000000-0008-0000-0100-000028885500}"/>
            </a:ext>
          </a:extLst>
        </xdr:cNvPr>
        <xdr:cNvGrpSpPr>
          <a:grpSpLocks/>
        </xdr:cNvGrpSpPr>
      </xdr:nvGrpSpPr>
      <xdr:grpSpPr bwMode="auto">
        <a:xfrm>
          <a:off x="1444812" y="6210300"/>
          <a:ext cx="1426882" cy="1200524"/>
          <a:chOff x="1362075" y="6410325"/>
          <a:chExt cx="1319468" cy="1181100"/>
        </a:xfrm>
      </xdr:grpSpPr>
      <xdr:sp macro="" textlink="">
        <xdr:nvSpPr>
          <xdr:cNvPr id="5605421" name="Line 320">
            <a:extLst>
              <a:ext uri="{FF2B5EF4-FFF2-40B4-BE49-F238E27FC236}">
                <a16:creationId xmlns:a16="http://schemas.microsoft.com/office/drawing/2014/main" id="{00000000-0008-0000-0100-00002D88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462415" y="7296150"/>
            <a:ext cx="351189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2" name="Rectangle 314">
            <a:extLst>
              <a:ext uri="{FF2B5EF4-FFF2-40B4-BE49-F238E27FC236}">
                <a16:creationId xmlns:a16="http://schemas.microsoft.com/office/drawing/2014/main" id="{00000000-0008-0000-0100-00002E885500}"/>
              </a:ext>
            </a:extLst>
          </xdr:cNvPr>
          <xdr:cNvSpPr>
            <a:spLocks noChangeArrowheads="1"/>
          </xdr:cNvSpPr>
        </xdr:nvSpPr>
        <xdr:spPr bwMode="auto">
          <a:xfrm>
            <a:off x="1833672" y="6410325"/>
            <a:ext cx="481630" cy="1181100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605423" name="Rectangle 315">
            <a:extLst>
              <a:ext uri="{FF2B5EF4-FFF2-40B4-BE49-F238E27FC236}">
                <a16:creationId xmlns:a16="http://schemas.microsoft.com/office/drawing/2014/main" id="{00000000-0008-0000-0100-00002F885500}"/>
              </a:ext>
            </a:extLst>
          </xdr:cNvPr>
          <xdr:cNvSpPr>
            <a:spLocks noChangeArrowheads="1"/>
          </xdr:cNvSpPr>
        </xdr:nvSpPr>
        <xdr:spPr bwMode="auto">
          <a:xfrm rot="-5400000">
            <a:off x="1838363" y="6388995"/>
            <a:ext cx="482283" cy="1204076"/>
          </a:xfrm>
          <a:prstGeom prst="rect">
            <a:avLst/>
          </a:prstGeom>
          <a:solidFill>
            <a:srgbClr val="F2F2F2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605424" name="Line 316">
            <a:extLst>
              <a:ext uri="{FF2B5EF4-FFF2-40B4-BE49-F238E27FC236}">
                <a16:creationId xmlns:a16="http://schemas.microsoft.com/office/drawing/2014/main" id="{00000000-0008-0000-0100-000030885500}"/>
              </a:ext>
            </a:extLst>
          </xdr:cNvPr>
          <xdr:cNvSpPr>
            <a:spLocks noChangeShapeType="1"/>
          </xdr:cNvSpPr>
        </xdr:nvSpPr>
        <xdr:spPr bwMode="auto">
          <a:xfrm>
            <a:off x="1833672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5" name="Line 317">
            <a:extLst>
              <a:ext uri="{FF2B5EF4-FFF2-40B4-BE49-F238E27FC236}">
                <a16:creationId xmlns:a16="http://schemas.microsoft.com/office/drawing/2014/main" id="{00000000-0008-0000-0100-000031885500}"/>
              </a:ext>
            </a:extLst>
          </xdr:cNvPr>
          <xdr:cNvSpPr>
            <a:spLocks noChangeShapeType="1"/>
          </xdr:cNvSpPr>
        </xdr:nvSpPr>
        <xdr:spPr bwMode="auto">
          <a:xfrm>
            <a:off x="2312198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5426" name="Line 319">
            <a:extLst>
              <a:ext uri="{FF2B5EF4-FFF2-40B4-BE49-F238E27FC236}">
                <a16:creationId xmlns:a16="http://schemas.microsoft.com/office/drawing/2014/main" id="{00000000-0008-0000-0100-000032885500}"/>
              </a:ext>
            </a:extLst>
          </xdr:cNvPr>
          <xdr:cNvSpPr>
            <a:spLocks noChangeShapeType="1"/>
          </xdr:cNvSpPr>
        </xdr:nvSpPr>
        <xdr:spPr bwMode="auto">
          <a:xfrm>
            <a:off x="1362075" y="6744970"/>
            <a:ext cx="0" cy="482283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</xdr:col>
      <xdr:colOff>279400</xdr:colOff>
      <xdr:row>49</xdr:row>
      <xdr:rowOff>25400</xdr:rowOff>
    </xdr:from>
    <xdr:to>
      <xdr:col>3</xdr:col>
      <xdr:colOff>558800</xdr:colOff>
      <xdr:row>54</xdr:row>
      <xdr:rowOff>114300</xdr:rowOff>
    </xdr:to>
    <xdr:sp macro="" textlink="">
      <xdr:nvSpPr>
        <xdr:cNvPr id="5605417" name="Oval 323">
          <a:extLst>
            <a:ext uri="{FF2B5EF4-FFF2-40B4-BE49-F238E27FC236}">
              <a16:creationId xmlns:a16="http://schemas.microsoft.com/office/drawing/2014/main" id="{00000000-0008-0000-0100-000029885500}"/>
            </a:ext>
          </a:extLst>
        </xdr:cNvPr>
        <xdr:cNvSpPr>
          <a:spLocks noChangeArrowheads="1"/>
        </xdr:cNvSpPr>
      </xdr:nvSpPr>
      <xdr:spPr bwMode="auto">
        <a:xfrm>
          <a:off x="1689100" y="7899400"/>
          <a:ext cx="1143000" cy="914400"/>
        </a:xfrm>
        <a:prstGeom prst="ellipse">
          <a:avLst/>
        </a:prstGeom>
        <a:solidFill>
          <a:srgbClr val="F2F2F2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762000</xdr:colOff>
      <xdr:row>51</xdr:row>
      <xdr:rowOff>63500</xdr:rowOff>
    </xdr:from>
    <xdr:to>
      <xdr:col>3</xdr:col>
      <xdr:colOff>101600</xdr:colOff>
      <xdr:row>52</xdr:row>
      <xdr:rowOff>76200</xdr:rowOff>
    </xdr:to>
    <xdr:sp macro="" textlink="">
      <xdr:nvSpPr>
        <xdr:cNvPr id="5605418" name="Oval 323">
          <a:extLst>
            <a:ext uri="{FF2B5EF4-FFF2-40B4-BE49-F238E27FC236}">
              <a16:creationId xmlns:a16="http://schemas.microsoft.com/office/drawing/2014/main" id="{00000000-0008-0000-0100-00002A885500}"/>
            </a:ext>
          </a:extLst>
        </xdr:cNvPr>
        <xdr:cNvSpPr>
          <a:spLocks noChangeArrowheads="1"/>
        </xdr:cNvSpPr>
      </xdr:nvSpPr>
      <xdr:spPr bwMode="auto">
        <a:xfrm>
          <a:off x="2171700" y="8267700"/>
          <a:ext cx="203200" cy="177800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0</xdr:colOff>
      <xdr:row>49</xdr:row>
      <xdr:rowOff>25400</xdr:rowOff>
    </xdr:from>
    <xdr:to>
      <xdr:col>3</xdr:col>
      <xdr:colOff>0</xdr:colOff>
      <xdr:row>51</xdr:row>
      <xdr:rowOff>139700</xdr:rowOff>
    </xdr:to>
    <xdr:sp macro="" textlink="">
      <xdr:nvSpPr>
        <xdr:cNvPr id="5605419" name="Line 324">
          <a:extLst>
            <a:ext uri="{FF2B5EF4-FFF2-40B4-BE49-F238E27FC236}">
              <a16:creationId xmlns:a16="http://schemas.microsoft.com/office/drawing/2014/main" id="{00000000-0008-0000-0100-00002B885500}"/>
            </a:ext>
          </a:extLst>
        </xdr:cNvPr>
        <xdr:cNvSpPr>
          <a:spLocks noChangeShapeType="1"/>
        </xdr:cNvSpPr>
      </xdr:nvSpPr>
      <xdr:spPr bwMode="auto">
        <a:xfrm>
          <a:off x="2273300" y="7899400"/>
          <a:ext cx="0" cy="4445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51</xdr:row>
      <xdr:rowOff>139700</xdr:rowOff>
    </xdr:from>
    <xdr:to>
      <xdr:col>3</xdr:col>
      <xdr:colOff>0</xdr:colOff>
      <xdr:row>52</xdr:row>
      <xdr:rowOff>88900</xdr:rowOff>
    </xdr:to>
    <xdr:sp macro="" textlink="">
      <xdr:nvSpPr>
        <xdr:cNvPr id="5605420" name="Line 324">
          <a:extLst>
            <a:ext uri="{FF2B5EF4-FFF2-40B4-BE49-F238E27FC236}">
              <a16:creationId xmlns:a16="http://schemas.microsoft.com/office/drawing/2014/main" id="{00000000-0008-0000-0100-00002C885500}"/>
            </a:ext>
          </a:extLst>
        </xdr:cNvPr>
        <xdr:cNvSpPr>
          <a:spLocks noChangeShapeType="1"/>
        </xdr:cNvSpPr>
      </xdr:nvSpPr>
      <xdr:spPr bwMode="auto">
        <a:xfrm flipH="1">
          <a:off x="2273300" y="8343900"/>
          <a:ext cx="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698500</xdr:colOff>
          <xdr:row>9</xdr:row>
          <xdr:rowOff>12700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1424424" name="Spinner 1064" hidden="1">
              <a:extLst>
                <a:ext uri="{63B3BB69-23CF-44E3-9099-C40C66FF867C}">
                  <a14:compatExt spid="_x0000_s1424424"/>
                </a:ext>
                <a:ext uri="{FF2B5EF4-FFF2-40B4-BE49-F238E27FC236}">
                  <a16:creationId xmlns:a16="http://schemas.microsoft.com/office/drawing/2014/main" id="{00000000-0008-0000-0100-000028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1079500</xdr:colOff>
          <xdr:row>42</xdr:row>
          <xdr:rowOff>12700</xdr:rowOff>
        </xdr:from>
        <xdr:to>
          <xdr:col>2</xdr:col>
          <xdr:colOff>0</xdr:colOff>
          <xdr:row>43</xdr:row>
          <xdr:rowOff>0</xdr:rowOff>
        </xdr:to>
        <xdr:sp macro="" textlink="">
          <xdr:nvSpPr>
            <xdr:cNvPr id="1424589" name="Spinner 1229" hidden="1">
              <a:extLst>
                <a:ext uri="{63B3BB69-23CF-44E3-9099-C40C66FF867C}">
                  <a14:compatExt spid="_x0000_s1424589"/>
                </a:ext>
                <a:ext uri="{FF2B5EF4-FFF2-40B4-BE49-F238E27FC236}">
                  <a16:creationId xmlns:a16="http://schemas.microsoft.com/office/drawing/2014/main" id="{00000000-0008-0000-0100-0000CD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1079500</xdr:colOff>
          <xdr:row>44</xdr:row>
          <xdr:rowOff>12700</xdr:rowOff>
        </xdr:from>
        <xdr:to>
          <xdr:col>2</xdr:col>
          <xdr:colOff>0</xdr:colOff>
          <xdr:row>45</xdr:row>
          <xdr:rowOff>0</xdr:rowOff>
        </xdr:to>
        <xdr:sp macro="" textlink="">
          <xdr:nvSpPr>
            <xdr:cNvPr id="1424590" name="Spinner 1230" hidden="1">
              <a:extLst>
                <a:ext uri="{63B3BB69-23CF-44E3-9099-C40C66FF867C}">
                  <a14:compatExt spid="_x0000_s1424590"/>
                </a:ext>
                <a:ext uri="{FF2B5EF4-FFF2-40B4-BE49-F238E27FC236}">
                  <a16:creationId xmlns:a16="http://schemas.microsoft.com/office/drawing/2014/main" id="{00000000-0008-0000-0100-0000CE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1079500</xdr:colOff>
          <xdr:row>50</xdr:row>
          <xdr:rowOff>12700</xdr:rowOff>
        </xdr:from>
        <xdr:to>
          <xdr:col>2</xdr:col>
          <xdr:colOff>0</xdr:colOff>
          <xdr:row>51</xdr:row>
          <xdr:rowOff>0</xdr:rowOff>
        </xdr:to>
        <xdr:sp macro="" textlink="">
          <xdr:nvSpPr>
            <xdr:cNvPr id="1424591" name="Spinner 1231" hidden="1">
              <a:extLst>
                <a:ext uri="{63B3BB69-23CF-44E3-9099-C40C66FF867C}">
                  <a14:compatExt spid="_x0000_s1424591"/>
                </a:ext>
                <a:ext uri="{FF2B5EF4-FFF2-40B4-BE49-F238E27FC236}">
                  <a16:creationId xmlns:a16="http://schemas.microsoft.com/office/drawing/2014/main" id="{00000000-0008-0000-0100-0000CFB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25400</xdr:colOff>
          <xdr:row>93</xdr:row>
          <xdr:rowOff>63500</xdr:rowOff>
        </xdr:from>
        <xdr:to>
          <xdr:col>4</xdr:col>
          <xdr:colOff>63500</xdr:colOff>
          <xdr:row>99</xdr:row>
          <xdr:rowOff>76200</xdr:rowOff>
        </xdr:to>
        <xdr:sp macro="" textlink="">
          <xdr:nvSpPr>
            <xdr:cNvPr id="1425294" name="Object 1934" hidden="1">
              <a:extLst>
                <a:ext uri="{63B3BB69-23CF-44E3-9099-C40C66FF867C}">
                  <a14:compatExt spid="_x0000_s1425294"/>
                </a:ext>
                <a:ext uri="{FF2B5EF4-FFF2-40B4-BE49-F238E27FC236}">
                  <a16:creationId xmlns:a16="http://schemas.microsoft.com/office/drawing/2014/main" id="{00000000-0008-0000-0100-00008EBF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1079500</xdr:colOff>
          <xdr:row>52</xdr:row>
          <xdr:rowOff>12700</xdr:rowOff>
        </xdr:from>
        <xdr:to>
          <xdr:col>2</xdr:col>
          <xdr:colOff>0</xdr:colOff>
          <xdr:row>53</xdr:row>
          <xdr:rowOff>0</xdr:rowOff>
        </xdr:to>
        <xdr:sp macro="" textlink="">
          <xdr:nvSpPr>
            <xdr:cNvPr id="4779462" name="Spinner 4550" hidden="1">
              <a:extLst>
                <a:ext uri="{63B3BB69-23CF-44E3-9099-C40C66FF867C}">
                  <a14:compatExt spid="_x0000_s4779462"/>
                </a:ext>
                <a:ext uri="{FF2B5EF4-FFF2-40B4-BE49-F238E27FC236}">
                  <a16:creationId xmlns:a16="http://schemas.microsoft.com/office/drawing/2014/main" id="{00000000-0008-0000-0100-0000C6ED4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</xdr:row>
      <xdr:rowOff>0</xdr:rowOff>
    </xdr:from>
    <xdr:to>
      <xdr:col>10</xdr:col>
      <xdr:colOff>673100</xdr:colOff>
      <xdr:row>19</xdr:row>
      <xdr:rowOff>0</xdr:rowOff>
    </xdr:to>
    <xdr:graphicFrame macro="">
      <xdr:nvGraphicFramePr>
        <xdr:cNvPr id="5105837" name="Graphique 1">
          <a:extLst>
            <a:ext uri="{FF2B5EF4-FFF2-40B4-BE49-F238E27FC236}">
              <a16:creationId xmlns:a16="http://schemas.microsoft.com/office/drawing/2014/main" id="{00000000-0008-0000-0200-0000AD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177800</xdr:colOff>
      <xdr:row>37</xdr:row>
      <xdr:rowOff>0</xdr:rowOff>
    </xdr:from>
    <xdr:to>
      <xdr:col>10</xdr:col>
      <xdr:colOff>673100</xdr:colOff>
      <xdr:row>55</xdr:row>
      <xdr:rowOff>0</xdr:rowOff>
    </xdr:to>
    <xdr:graphicFrame macro="">
      <xdr:nvGraphicFramePr>
        <xdr:cNvPr id="5105838" name="Graphique 2">
          <a:extLst>
            <a:ext uri="{FF2B5EF4-FFF2-40B4-BE49-F238E27FC236}">
              <a16:creationId xmlns:a16="http://schemas.microsoft.com/office/drawing/2014/main" id="{00000000-0008-0000-0200-0000AE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177800</xdr:colOff>
      <xdr:row>19</xdr:row>
      <xdr:rowOff>0</xdr:rowOff>
    </xdr:from>
    <xdr:to>
      <xdr:col>10</xdr:col>
      <xdr:colOff>673100</xdr:colOff>
      <xdr:row>37</xdr:row>
      <xdr:rowOff>0</xdr:rowOff>
    </xdr:to>
    <xdr:graphicFrame macro="">
      <xdr:nvGraphicFramePr>
        <xdr:cNvPr id="5105839" name="Graphique 3">
          <a:extLst>
            <a:ext uri="{FF2B5EF4-FFF2-40B4-BE49-F238E27FC236}">
              <a16:creationId xmlns:a16="http://schemas.microsoft.com/office/drawing/2014/main" id="{00000000-0008-0000-0200-0000AF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177800</xdr:colOff>
      <xdr:row>55</xdr:row>
      <xdr:rowOff>0</xdr:rowOff>
    </xdr:from>
    <xdr:to>
      <xdr:col>10</xdr:col>
      <xdr:colOff>673100</xdr:colOff>
      <xdr:row>73</xdr:row>
      <xdr:rowOff>0</xdr:rowOff>
    </xdr:to>
    <xdr:graphicFrame macro="">
      <xdr:nvGraphicFramePr>
        <xdr:cNvPr id="5105840" name="Graphique 4">
          <a:extLst>
            <a:ext uri="{FF2B5EF4-FFF2-40B4-BE49-F238E27FC236}">
              <a16:creationId xmlns:a16="http://schemas.microsoft.com/office/drawing/2014/main" id="{00000000-0008-0000-0200-0000B0E8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4</xdr:row>
      <xdr:rowOff>50800</xdr:rowOff>
    </xdr:from>
    <xdr:to>
      <xdr:col>7</xdr:col>
      <xdr:colOff>228600</xdr:colOff>
      <xdr:row>19</xdr:row>
      <xdr:rowOff>139700</xdr:rowOff>
    </xdr:to>
    <xdr:graphicFrame macro="">
      <xdr:nvGraphicFramePr>
        <xdr:cNvPr id="5110828" name="Graphique 1">
          <a:extLst>
            <a:ext uri="{FF2B5EF4-FFF2-40B4-BE49-F238E27FC236}">
              <a16:creationId xmlns:a16="http://schemas.microsoft.com/office/drawing/2014/main" id="{00000000-0008-0000-0300-00002CFC4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292100</xdr:colOff>
      <xdr:row>1008</xdr:row>
      <xdr:rowOff>152400</xdr:rowOff>
    </xdr:from>
    <xdr:to>
      <xdr:col>16</xdr:col>
      <xdr:colOff>165100</xdr:colOff>
      <xdr:row>1010</xdr:row>
      <xdr:rowOff>88900</xdr:rowOff>
    </xdr:to>
    <xdr:sp macro="" textlink="">
      <xdr:nvSpPr>
        <xdr:cNvPr id="3411" name="Line 60">
          <a:extLst>
            <a:ext uri="{FF2B5EF4-FFF2-40B4-BE49-F238E27FC236}">
              <a16:creationId xmlns:a16="http://schemas.microsoft.com/office/drawing/2014/main" id="{00000000-0008-0000-0400-0000530D0000}"/>
            </a:ext>
          </a:extLst>
        </xdr:cNvPr>
        <xdr:cNvSpPr>
          <a:spLocks noChangeShapeType="1"/>
        </xdr:cNvSpPr>
      </xdr:nvSpPr>
      <xdr:spPr bwMode="auto">
        <a:xfrm flipH="1">
          <a:off x="6273800" y="166585900"/>
          <a:ext cx="119380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304800</xdr:colOff>
      <xdr:row>1011</xdr:row>
      <xdr:rowOff>101600</xdr:rowOff>
    </xdr:from>
    <xdr:to>
      <xdr:col>17</xdr:col>
      <xdr:colOff>381000</xdr:colOff>
      <xdr:row>1013</xdr:row>
      <xdr:rowOff>139700</xdr:rowOff>
    </xdr:to>
    <xdr:sp macro="" textlink="">
      <xdr:nvSpPr>
        <xdr:cNvPr id="3412" name="Line 71">
          <a:extLst>
            <a:ext uri="{FF2B5EF4-FFF2-40B4-BE49-F238E27FC236}">
              <a16:creationId xmlns:a16="http://schemas.microsoft.com/office/drawing/2014/main" id="{00000000-0008-0000-0400-0000540D0000}"/>
            </a:ext>
          </a:extLst>
        </xdr:cNvPr>
        <xdr:cNvSpPr>
          <a:spLocks noChangeShapeType="1"/>
        </xdr:cNvSpPr>
      </xdr:nvSpPr>
      <xdr:spPr bwMode="auto">
        <a:xfrm flipH="1" flipV="1">
          <a:off x="6286500" y="167030400"/>
          <a:ext cx="2057400" cy="368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304800</xdr:colOff>
      <xdr:row>1012</xdr:row>
      <xdr:rowOff>139700</xdr:rowOff>
    </xdr:from>
    <xdr:to>
      <xdr:col>17</xdr:col>
      <xdr:colOff>381000</xdr:colOff>
      <xdr:row>1015</xdr:row>
      <xdr:rowOff>25400</xdr:rowOff>
    </xdr:to>
    <xdr:sp macro="" textlink="">
      <xdr:nvSpPr>
        <xdr:cNvPr id="3413" name="Line 71">
          <a:extLst>
            <a:ext uri="{FF2B5EF4-FFF2-40B4-BE49-F238E27FC236}">
              <a16:creationId xmlns:a16="http://schemas.microsoft.com/office/drawing/2014/main" id="{00000000-0008-0000-0400-0000550D0000}"/>
            </a:ext>
          </a:extLst>
        </xdr:cNvPr>
        <xdr:cNvSpPr>
          <a:spLocks noChangeShapeType="1"/>
        </xdr:cNvSpPr>
      </xdr:nvSpPr>
      <xdr:spPr bwMode="auto">
        <a:xfrm flipH="1" flipV="1">
          <a:off x="6286500" y="167233600"/>
          <a:ext cx="205740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12700</xdr:colOff>
          <xdr:row>1010</xdr:row>
          <xdr:rowOff>88900</xdr:rowOff>
        </xdr:from>
        <xdr:to>
          <xdr:col>20</xdr:col>
          <xdr:colOff>266700</xdr:colOff>
          <xdr:row>1013</xdr:row>
          <xdr:rowOff>25400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4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25400</xdr:colOff>
          <xdr:row>1024</xdr:row>
          <xdr:rowOff>139700</xdr:rowOff>
        </xdr:from>
        <xdr:to>
          <xdr:col>25</xdr:col>
          <xdr:colOff>406400</xdr:colOff>
          <xdr:row>1026</xdr:row>
          <xdr:rowOff>63500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4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1006</xdr:row>
          <xdr:rowOff>25400</xdr:rowOff>
        </xdr:from>
        <xdr:to>
          <xdr:col>24</xdr:col>
          <xdr:colOff>139700</xdr:colOff>
          <xdr:row>1007</xdr:row>
          <xdr:rowOff>88900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4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</xdr:colOff>
          <xdr:row>1017</xdr:row>
          <xdr:rowOff>139700</xdr:rowOff>
        </xdr:from>
        <xdr:to>
          <xdr:col>10</xdr:col>
          <xdr:colOff>533400</xdr:colOff>
          <xdr:row>1019</xdr:row>
          <xdr:rowOff>114300</xdr:rowOff>
        </xdr:to>
        <xdr:sp macro="" textlink="">
          <xdr:nvSpPr>
            <xdr:cNvPr id="3112" name="Object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4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</xdr:colOff>
          <xdr:row>1014</xdr:row>
          <xdr:rowOff>152400</xdr:rowOff>
        </xdr:from>
        <xdr:to>
          <xdr:col>11</xdr:col>
          <xdr:colOff>241300</xdr:colOff>
          <xdr:row>1016</xdr:row>
          <xdr:rowOff>63500</xdr:rowOff>
        </xdr:to>
        <xdr:sp macro="" textlink="">
          <xdr:nvSpPr>
            <xdr:cNvPr id="3114" name="Object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4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12700</xdr:colOff>
          <xdr:row>1016</xdr:row>
          <xdr:rowOff>63500</xdr:rowOff>
        </xdr:from>
        <xdr:to>
          <xdr:col>11</xdr:col>
          <xdr:colOff>215900</xdr:colOff>
          <xdr:row>1017</xdr:row>
          <xdr:rowOff>139700</xdr:rowOff>
        </xdr:to>
        <xdr:sp macro="" textlink="">
          <xdr:nvSpPr>
            <xdr:cNvPr id="3115" name="Object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4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1022</xdr:row>
          <xdr:rowOff>63500</xdr:rowOff>
        </xdr:from>
        <xdr:to>
          <xdr:col>17</xdr:col>
          <xdr:colOff>241300</xdr:colOff>
          <xdr:row>1024</xdr:row>
          <xdr:rowOff>139700</xdr:rowOff>
        </xdr:to>
        <xdr:sp macro="" textlink="">
          <xdr:nvSpPr>
            <xdr:cNvPr id="3119" name="Object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4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1008</xdr:row>
          <xdr:rowOff>0</xdr:rowOff>
        </xdr:from>
        <xdr:to>
          <xdr:col>11</xdr:col>
          <xdr:colOff>215900</xdr:colOff>
          <xdr:row>1010</xdr:row>
          <xdr:rowOff>76200</xdr:rowOff>
        </xdr:to>
        <xdr:sp macro="" textlink="">
          <xdr:nvSpPr>
            <xdr:cNvPr id="3120" name="Object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4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1010</xdr:row>
          <xdr:rowOff>88900</xdr:rowOff>
        </xdr:from>
        <xdr:to>
          <xdr:col>12</xdr:col>
          <xdr:colOff>215900</xdr:colOff>
          <xdr:row>1013</xdr:row>
          <xdr:rowOff>0</xdr:rowOff>
        </xdr:to>
        <xdr:sp macro="" textlink="">
          <xdr:nvSpPr>
            <xdr:cNvPr id="3121" name="Object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4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1006</xdr:row>
          <xdr:rowOff>88900</xdr:rowOff>
        </xdr:from>
        <xdr:to>
          <xdr:col>3</xdr:col>
          <xdr:colOff>495300</xdr:colOff>
          <xdr:row>1007</xdr:row>
          <xdr:rowOff>152400</xdr:rowOff>
        </xdr:to>
        <xdr:sp macro="" textlink="">
          <xdr:nvSpPr>
            <xdr:cNvPr id="3122" name="Object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4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1024</xdr:row>
          <xdr:rowOff>152400</xdr:rowOff>
        </xdr:from>
        <xdr:to>
          <xdr:col>16</xdr:col>
          <xdr:colOff>0</xdr:colOff>
          <xdr:row>1026</xdr:row>
          <xdr:rowOff>127000</xdr:rowOff>
        </xdr:to>
        <xdr:sp macro="" textlink="">
          <xdr:nvSpPr>
            <xdr:cNvPr id="3124" name="Object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4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12700</xdr:colOff>
          <xdr:row>1013</xdr:row>
          <xdr:rowOff>25400</xdr:rowOff>
        </xdr:from>
        <xdr:to>
          <xdr:col>21</xdr:col>
          <xdr:colOff>25400</xdr:colOff>
          <xdr:row>1014</xdr:row>
          <xdr:rowOff>101600</xdr:rowOff>
        </xdr:to>
        <xdr:sp macro="" textlink="">
          <xdr:nvSpPr>
            <xdr:cNvPr id="3125" name="Object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4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1005</xdr:row>
          <xdr:rowOff>12700</xdr:rowOff>
        </xdr:from>
        <xdr:to>
          <xdr:col>10</xdr:col>
          <xdr:colOff>368300</xdr:colOff>
          <xdr:row>1006</xdr:row>
          <xdr:rowOff>76200</xdr:rowOff>
        </xdr:to>
        <xdr:sp macro="" textlink="">
          <xdr:nvSpPr>
            <xdr:cNvPr id="3127" name="Object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4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1013</xdr:row>
          <xdr:rowOff>12700</xdr:rowOff>
        </xdr:from>
        <xdr:to>
          <xdr:col>8</xdr:col>
          <xdr:colOff>177800</xdr:colOff>
          <xdr:row>1014</xdr:row>
          <xdr:rowOff>139700</xdr:rowOff>
        </xdr:to>
        <xdr:sp macro="" textlink="">
          <xdr:nvSpPr>
            <xdr:cNvPr id="3129" name="Object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4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12700</xdr:colOff>
          <xdr:row>1018</xdr:row>
          <xdr:rowOff>50800</xdr:rowOff>
        </xdr:from>
        <xdr:to>
          <xdr:col>24</xdr:col>
          <xdr:colOff>977900</xdr:colOff>
          <xdr:row>1019</xdr:row>
          <xdr:rowOff>114300</xdr:rowOff>
        </xdr:to>
        <xdr:sp macro="" textlink="">
          <xdr:nvSpPr>
            <xdr:cNvPr id="3131" name="Object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4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1019</xdr:row>
          <xdr:rowOff>127000</xdr:rowOff>
        </xdr:from>
        <xdr:to>
          <xdr:col>20</xdr:col>
          <xdr:colOff>520700</xdr:colOff>
          <xdr:row>1022</xdr:row>
          <xdr:rowOff>50800</xdr:rowOff>
        </xdr:to>
        <xdr:sp macro="" textlink="">
          <xdr:nvSpPr>
            <xdr:cNvPr id="3134" name="Object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4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1018</xdr:row>
          <xdr:rowOff>50800</xdr:rowOff>
        </xdr:from>
        <xdr:to>
          <xdr:col>19</xdr:col>
          <xdr:colOff>165100</xdr:colOff>
          <xdr:row>1019</xdr:row>
          <xdr:rowOff>114300</xdr:rowOff>
        </xdr:to>
        <xdr:sp macro="" textlink="">
          <xdr:nvSpPr>
            <xdr:cNvPr id="3135" name="Object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4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12700</xdr:colOff>
          <xdr:row>1007</xdr:row>
          <xdr:rowOff>101600</xdr:rowOff>
        </xdr:from>
        <xdr:to>
          <xdr:col>37</xdr:col>
          <xdr:colOff>254000</xdr:colOff>
          <xdr:row>1010</xdr:row>
          <xdr:rowOff>63500</xdr:rowOff>
        </xdr:to>
        <xdr:sp macro="" textlink="">
          <xdr:nvSpPr>
            <xdr:cNvPr id="3141" name="Object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4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12700</xdr:colOff>
          <xdr:row>1010</xdr:row>
          <xdr:rowOff>76200</xdr:rowOff>
        </xdr:from>
        <xdr:to>
          <xdr:col>35</xdr:col>
          <xdr:colOff>660400</xdr:colOff>
          <xdr:row>1013</xdr:row>
          <xdr:rowOff>38100</xdr:rowOff>
        </xdr:to>
        <xdr:sp macro="" textlink="">
          <xdr:nvSpPr>
            <xdr:cNvPr id="3142" name="Object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4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1035</xdr:row>
          <xdr:rowOff>25400</xdr:rowOff>
        </xdr:from>
        <xdr:to>
          <xdr:col>11</xdr:col>
          <xdr:colOff>508000</xdr:colOff>
          <xdr:row>1038</xdr:row>
          <xdr:rowOff>25400</xdr:rowOff>
        </xdr:to>
        <xdr:sp macro="" textlink="">
          <xdr:nvSpPr>
            <xdr:cNvPr id="3157" name="Object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4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1040</xdr:row>
          <xdr:rowOff>25400</xdr:rowOff>
        </xdr:from>
        <xdr:to>
          <xdr:col>12</xdr:col>
          <xdr:colOff>25400</xdr:colOff>
          <xdr:row>1043</xdr:row>
          <xdr:rowOff>25400</xdr:rowOff>
        </xdr:to>
        <xdr:sp macro="" textlink="">
          <xdr:nvSpPr>
            <xdr:cNvPr id="3158" name="Object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4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12700</xdr:colOff>
          <xdr:row>1014</xdr:row>
          <xdr:rowOff>101600</xdr:rowOff>
        </xdr:from>
        <xdr:to>
          <xdr:col>20</xdr:col>
          <xdr:colOff>304800</xdr:colOff>
          <xdr:row>1016</xdr:row>
          <xdr:rowOff>12700</xdr:rowOff>
        </xdr:to>
        <xdr:sp macro="" textlink="">
          <xdr:nvSpPr>
            <xdr:cNvPr id="3161" name="Object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4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1007</xdr:row>
          <xdr:rowOff>101600</xdr:rowOff>
        </xdr:from>
        <xdr:to>
          <xdr:col>32</xdr:col>
          <xdr:colOff>152400</xdr:colOff>
          <xdr:row>1010</xdr:row>
          <xdr:rowOff>76200</xdr:rowOff>
        </xdr:to>
        <xdr:sp macro="" textlink="">
          <xdr:nvSpPr>
            <xdr:cNvPr id="3162" name="Object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4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1055</xdr:row>
          <xdr:rowOff>25400</xdr:rowOff>
        </xdr:from>
        <xdr:to>
          <xdr:col>12</xdr:col>
          <xdr:colOff>304800</xdr:colOff>
          <xdr:row>1058</xdr:row>
          <xdr:rowOff>50800</xdr:rowOff>
        </xdr:to>
        <xdr:sp macro="" textlink="">
          <xdr:nvSpPr>
            <xdr:cNvPr id="3167" name="Object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4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1060</xdr:row>
          <xdr:rowOff>25400</xdr:rowOff>
        </xdr:from>
        <xdr:to>
          <xdr:col>15</xdr:col>
          <xdr:colOff>50800</xdr:colOff>
          <xdr:row>1063</xdr:row>
          <xdr:rowOff>50800</xdr:rowOff>
        </xdr:to>
        <xdr:sp macro="" textlink="">
          <xdr:nvSpPr>
            <xdr:cNvPr id="3168" name="Object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4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1065</xdr:row>
          <xdr:rowOff>25400</xdr:rowOff>
        </xdr:from>
        <xdr:to>
          <xdr:col>16</xdr:col>
          <xdr:colOff>609600</xdr:colOff>
          <xdr:row>1068</xdr:row>
          <xdr:rowOff>50800</xdr:rowOff>
        </xdr:to>
        <xdr:sp macro="" textlink="">
          <xdr:nvSpPr>
            <xdr:cNvPr id="3169" name="Object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4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1045</xdr:row>
          <xdr:rowOff>25400</xdr:rowOff>
        </xdr:from>
        <xdr:to>
          <xdr:col>16</xdr:col>
          <xdr:colOff>101600</xdr:colOff>
          <xdr:row>1048</xdr:row>
          <xdr:rowOff>25400</xdr:rowOff>
        </xdr:to>
        <xdr:sp macro="" textlink="">
          <xdr:nvSpPr>
            <xdr:cNvPr id="3173" name="Object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4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1050</xdr:row>
          <xdr:rowOff>25400</xdr:rowOff>
        </xdr:from>
        <xdr:to>
          <xdr:col>16</xdr:col>
          <xdr:colOff>355600</xdr:colOff>
          <xdr:row>1053</xdr:row>
          <xdr:rowOff>50800</xdr:rowOff>
        </xdr:to>
        <xdr:sp macro="" textlink="">
          <xdr:nvSpPr>
            <xdr:cNvPr id="3174" name="Object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4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1070</xdr:row>
          <xdr:rowOff>25400</xdr:rowOff>
        </xdr:from>
        <xdr:to>
          <xdr:col>12</xdr:col>
          <xdr:colOff>368300</xdr:colOff>
          <xdr:row>1073</xdr:row>
          <xdr:rowOff>50800</xdr:rowOff>
        </xdr:to>
        <xdr:sp macro="" textlink="">
          <xdr:nvSpPr>
            <xdr:cNvPr id="3178" name="Object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4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1053</xdr:row>
          <xdr:rowOff>25400</xdr:rowOff>
        </xdr:from>
        <xdr:to>
          <xdr:col>32</xdr:col>
          <xdr:colOff>381000</xdr:colOff>
          <xdr:row>1056</xdr:row>
          <xdr:rowOff>25400</xdr:rowOff>
        </xdr:to>
        <xdr:sp macro="" textlink="">
          <xdr:nvSpPr>
            <xdr:cNvPr id="3188" name="Object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4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25400</xdr:colOff>
          <xdr:row>1022</xdr:row>
          <xdr:rowOff>50800</xdr:rowOff>
        </xdr:from>
        <xdr:to>
          <xdr:col>32</xdr:col>
          <xdr:colOff>241300</xdr:colOff>
          <xdr:row>1024</xdr:row>
          <xdr:rowOff>114300</xdr:rowOff>
        </xdr:to>
        <xdr:sp macro="" textlink="">
          <xdr:nvSpPr>
            <xdr:cNvPr id="3192" name="Object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4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1017</xdr:row>
          <xdr:rowOff>25400</xdr:rowOff>
        </xdr:from>
        <xdr:to>
          <xdr:col>36</xdr:col>
          <xdr:colOff>152400</xdr:colOff>
          <xdr:row>1020</xdr:row>
          <xdr:rowOff>25400</xdr:rowOff>
        </xdr:to>
        <xdr:sp macro="" textlink="">
          <xdr:nvSpPr>
            <xdr:cNvPr id="3220" name="Object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4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1014</xdr:row>
          <xdr:rowOff>0</xdr:rowOff>
        </xdr:from>
        <xdr:to>
          <xdr:col>36</xdr:col>
          <xdr:colOff>635000</xdr:colOff>
          <xdr:row>1017</xdr:row>
          <xdr:rowOff>0</xdr:rowOff>
        </xdr:to>
        <xdr:sp macro="" textlink="">
          <xdr:nvSpPr>
            <xdr:cNvPr id="3222" name="Object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4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1020</xdr:row>
          <xdr:rowOff>38100</xdr:rowOff>
        </xdr:from>
        <xdr:to>
          <xdr:col>35</xdr:col>
          <xdr:colOff>127000</xdr:colOff>
          <xdr:row>1023</xdr:row>
          <xdr:rowOff>38100</xdr:rowOff>
        </xdr:to>
        <xdr:sp macro="" textlink="">
          <xdr:nvSpPr>
            <xdr:cNvPr id="3223" name="Object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4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1023</xdr:row>
          <xdr:rowOff>63500</xdr:rowOff>
        </xdr:from>
        <xdr:to>
          <xdr:col>36</xdr:col>
          <xdr:colOff>50800</xdr:colOff>
          <xdr:row>1026</xdr:row>
          <xdr:rowOff>63500</xdr:rowOff>
        </xdr:to>
        <xdr:sp macro="" textlink="">
          <xdr:nvSpPr>
            <xdr:cNvPr id="3225" name="Object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4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1048</xdr:row>
          <xdr:rowOff>25400</xdr:rowOff>
        </xdr:from>
        <xdr:to>
          <xdr:col>34</xdr:col>
          <xdr:colOff>317500</xdr:colOff>
          <xdr:row>1051</xdr:row>
          <xdr:rowOff>76200</xdr:rowOff>
        </xdr:to>
        <xdr:sp macro="" textlink="">
          <xdr:nvSpPr>
            <xdr:cNvPr id="3281" name="Object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4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4</xdr:row>
      <xdr:rowOff>152400</xdr:rowOff>
    </xdr:to>
    <xdr:pic>
      <xdr:nvPicPr>
        <xdr:cNvPr id="2604376" name="Picture 8" descr="logoplasci">
          <a:extLst>
            <a:ext uri="{FF2B5EF4-FFF2-40B4-BE49-F238E27FC236}">
              <a16:creationId xmlns:a16="http://schemas.microsoft.com/office/drawing/2014/main" id="{00000000-0008-0000-0500-000058BD2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2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482600</xdr:colOff>
      <xdr:row>0</xdr:row>
      <xdr:rowOff>114300</xdr:rowOff>
    </xdr:from>
    <xdr:to>
      <xdr:col>12</xdr:col>
      <xdr:colOff>482600</xdr:colOff>
      <xdr:row>17</xdr:row>
      <xdr:rowOff>25400</xdr:rowOff>
    </xdr:to>
    <xdr:graphicFrame macro="">
      <xdr:nvGraphicFramePr>
        <xdr:cNvPr id="2604377" name="Graphique 2">
          <a:extLst>
            <a:ext uri="{FF2B5EF4-FFF2-40B4-BE49-F238E27FC236}">
              <a16:creationId xmlns:a16="http://schemas.microsoft.com/office/drawing/2014/main" id="{00000000-0008-0000-0500-000059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482600</xdr:colOff>
      <xdr:row>17</xdr:row>
      <xdr:rowOff>25400</xdr:rowOff>
    </xdr:from>
    <xdr:to>
      <xdr:col>12</xdr:col>
      <xdr:colOff>482600</xdr:colOff>
      <xdr:row>34</xdr:row>
      <xdr:rowOff>25400</xdr:rowOff>
    </xdr:to>
    <xdr:graphicFrame macro="">
      <xdr:nvGraphicFramePr>
        <xdr:cNvPr id="2604378" name="Graphique 2">
          <a:extLst>
            <a:ext uri="{FF2B5EF4-FFF2-40B4-BE49-F238E27FC236}">
              <a16:creationId xmlns:a16="http://schemas.microsoft.com/office/drawing/2014/main" id="{00000000-0008-0000-0500-00005A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17</xdr:row>
      <xdr:rowOff>25400</xdr:rowOff>
    </xdr:from>
    <xdr:to>
      <xdr:col>6</xdr:col>
      <xdr:colOff>482600</xdr:colOff>
      <xdr:row>34</xdr:row>
      <xdr:rowOff>25400</xdr:rowOff>
    </xdr:to>
    <xdr:graphicFrame macro="">
      <xdr:nvGraphicFramePr>
        <xdr:cNvPr id="2604379" name="Graphique 2">
          <a:extLst>
            <a:ext uri="{FF2B5EF4-FFF2-40B4-BE49-F238E27FC236}">
              <a16:creationId xmlns:a16="http://schemas.microsoft.com/office/drawing/2014/main" id="{00000000-0008-0000-0500-00005BBD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698500</xdr:colOff>
          <xdr:row>9</xdr:row>
          <xdr:rowOff>12700</xdr:rowOff>
        </xdr:from>
        <xdr:to>
          <xdr:col>4</xdr:col>
          <xdr:colOff>0</xdr:colOff>
          <xdr:row>10</xdr:row>
          <xdr:rowOff>0</xdr:rowOff>
        </xdr:to>
        <xdr:sp macro="" textlink="">
          <xdr:nvSpPr>
            <xdr:cNvPr id="2604063" name="Spinner 31" hidden="1">
              <a:extLst>
                <a:ext uri="{63B3BB69-23CF-44E3-9099-C40C66FF867C}">
                  <a14:compatExt spid="_x0000_s2604063"/>
                </a:ext>
                <a:ext uri="{FF2B5EF4-FFF2-40B4-BE49-F238E27FC236}">
                  <a16:creationId xmlns:a16="http://schemas.microsoft.com/office/drawing/2014/main" id="{00000000-0008-0000-0500-00001F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355600</xdr:colOff>
          <xdr:row>68</xdr:row>
          <xdr:rowOff>25400</xdr:rowOff>
        </xdr:from>
        <xdr:to>
          <xdr:col>12</xdr:col>
          <xdr:colOff>812800</xdr:colOff>
          <xdr:row>85</xdr:row>
          <xdr:rowOff>12700</xdr:rowOff>
        </xdr:to>
        <xdr:sp macro="" textlink="">
          <xdr:nvSpPr>
            <xdr:cNvPr id="2604101" name="Object 69" hidden="1">
              <a:extLst>
                <a:ext uri="{63B3BB69-23CF-44E3-9099-C40C66FF867C}">
                  <a14:compatExt spid="_x0000_s2604101"/>
                </a:ext>
                <a:ext uri="{FF2B5EF4-FFF2-40B4-BE49-F238E27FC236}">
                  <a16:creationId xmlns:a16="http://schemas.microsoft.com/office/drawing/2014/main" id="{00000000-0008-0000-0500-000045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698500</xdr:colOff>
          <xdr:row>10</xdr:row>
          <xdr:rowOff>12700</xdr:rowOff>
        </xdr:from>
        <xdr:to>
          <xdr:col>4</xdr:col>
          <xdr:colOff>0</xdr:colOff>
          <xdr:row>11</xdr:row>
          <xdr:rowOff>0</xdr:rowOff>
        </xdr:to>
        <xdr:sp macro="" textlink="">
          <xdr:nvSpPr>
            <xdr:cNvPr id="2604202" name="Spinner 170" hidden="1">
              <a:extLst>
                <a:ext uri="{63B3BB69-23CF-44E3-9099-C40C66FF867C}">
                  <a14:compatExt spid="_x0000_s2604202"/>
                </a:ext>
                <a:ext uri="{FF2B5EF4-FFF2-40B4-BE49-F238E27FC236}">
                  <a16:creationId xmlns:a16="http://schemas.microsoft.com/office/drawing/2014/main" id="{00000000-0008-0000-0500-0000AABC2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33</xdr:row>
      <xdr:rowOff>25400</xdr:rowOff>
    </xdr:from>
    <xdr:to>
      <xdr:col>2</xdr:col>
      <xdr:colOff>12700</xdr:colOff>
      <xdr:row>44</xdr:row>
      <xdr:rowOff>25400</xdr:rowOff>
    </xdr:to>
    <xdr:pic>
      <xdr:nvPicPr>
        <xdr:cNvPr id="5956" name="Image 1">
          <a:extLst>
            <a:ext uri="{FF2B5EF4-FFF2-40B4-BE49-F238E27FC236}">
              <a16:creationId xmlns:a16="http://schemas.microsoft.com/office/drawing/2014/main" id="{00000000-0008-0000-0600-000044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473700"/>
          <a:ext cx="1346200" cy="181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1231900</xdr:colOff>
      <xdr:row>52</xdr:row>
      <xdr:rowOff>50800</xdr:rowOff>
    </xdr:from>
    <xdr:to>
      <xdr:col>10</xdr:col>
      <xdr:colOff>660400</xdr:colOff>
      <xdr:row>80</xdr:row>
      <xdr:rowOff>25400</xdr:rowOff>
    </xdr:to>
    <xdr:pic>
      <xdr:nvPicPr>
        <xdr:cNvPr id="5957" name="Image 2">
          <a:extLst>
            <a:ext uri="{FF2B5EF4-FFF2-40B4-BE49-F238E27FC236}">
              <a16:creationId xmlns:a16="http://schemas.microsoft.com/office/drawing/2014/main" id="{00000000-0008-0000-0600-0000451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8636000"/>
          <a:ext cx="7708900" cy="459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1079500</xdr:colOff>
      <xdr:row>4</xdr:row>
      <xdr:rowOff>152400</xdr:rowOff>
    </xdr:to>
    <xdr:pic>
      <xdr:nvPicPr>
        <xdr:cNvPr id="5958" name="Picture 8" descr="logoplasci">
          <a:extLst>
            <a:ext uri="{FF2B5EF4-FFF2-40B4-BE49-F238E27FC236}">
              <a16:creationId xmlns:a16="http://schemas.microsoft.com/office/drawing/2014/main" id="{00000000-0008-0000-0600-0000461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65100"/>
          <a:ext cx="1079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80</xdr:row>
      <xdr:rowOff>12700</xdr:rowOff>
    </xdr:from>
    <xdr:to>
      <xdr:col>8</xdr:col>
      <xdr:colOff>0</xdr:colOff>
      <xdr:row>102</xdr:row>
      <xdr:rowOff>101600</xdr:rowOff>
    </xdr:to>
    <xdr:grpSp>
      <xdr:nvGrpSpPr>
        <xdr:cNvPr id="5600684" name="Group 232">
          <a:extLst>
            <a:ext uri="{FF2B5EF4-FFF2-40B4-BE49-F238E27FC236}">
              <a16:creationId xmlns:a16="http://schemas.microsoft.com/office/drawing/2014/main" id="{00000000-0008-0000-0700-0000AC755500}"/>
            </a:ext>
          </a:extLst>
        </xdr:cNvPr>
        <xdr:cNvGrpSpPr>
          <a:grpSpLocks/>
        </xdr:cNvGrpSpPr>
      </xdr:nvGrpSpPr>
      <xdr:grpSpPr bwMode="auto">
        <a:xfrm>
          <a:off x="4356100" y="13366750"/>
          <a:ext cx="2247900" cy="3708400"/>
          <a:chOff x="3421" y="5379"/>
          <a:chExt cx="2289" cy="5759"/>
        </a:xfrm>
      </xdr:grpSpPr>
      <xdr:grpSp>
        <xdr:nvGrpSpPr>
          <xdr:cNvPr id="5600788" name="Group 233">
            <a:extLst>
              <a:ext uri="{FF2B5EF4-FFF2-40B4-BE49-F238E27FC236}">
                <a16:creationId xmlns:a16="http://schemas.microsoft.com/office/drawing/2014/main" id="{00000000-0008-0000-0700-0000147655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600806" name="Arc 234">
              <a:extLst>
                <a:ext uri="{FF2B5EF4-FFF2-40B4-BE49-F238E27FC236}">
                  <a16:creationId xmlns:a16="http://schemas.microsoft.com/office/drawing/2014/main" id="{00000000-0008-0000-0700-000026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807" name="Group 235">
              <a:extLst>
                <a:ext uri="{FF2B5EF4-FFF2-40B4-BE49-F238E27FC236}">
                  <a16:creationId xmlns:a16="http://schemas.microsoft.com/office/drawing/2014/main" id="{00000000-0008-0000-0700-000027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808" name="Line 236">
                <a:extLst>
                  <a:ext uri="{FF2B5EF4-FFF2-40B4-BE49-F238E27FC236}">
                    <a16:creationId xmlns:a16="http://schemas.microsoft.com/office/drawing/2014/main" id="{00000000-0008-0000-0700-000028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9" name="Line 237">
                <a:extLst>
                  <a:ext uri="{FF2B5EF4-FFF2-40B4-BE49-F238E27FC236}">
                    <a16:creationId xmlns:a16="http://schemas.microsoft.com/office/drawing/2014/main" id="{00000000-0008-0000-0700-000029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0" name="Line 238">
                <a:extLst>
                  <a:ext uri="{FF2B5EF4-FFF2-40B4-BE49-F238E27FC236}">
                    <a16:creationId xmlns:a16="http://schemas.microsoft.com/office/drawing/2014/main" id="{00000000-0008-0000-0700-00002A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1" name="Line 239">
                <a:extLst>
                  <a:ext uri="{FF2B5EF4-FFF2-40B4-BE49-F238E27FC236}">
                    <a16:creationId xmlns:a16="http://schemas.microsoft.com/office/drawing/2014/main" id="{00000000-0008-0000-0700-00002B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12" name="Line 240">
                <a:extLst>
                  <a:ext uri="{FF2B5EF4-FFF2-40B4-BE49-F238E27FC236}">
                    <a16:creationId xmlns:a16="http://schemas.microsoft.com/office/drawing/2014/main" id="{00000000-0008-0000-0700-00002C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grpSp>
        <xdr:nvGrpSpPr>
          <xdr:cNvPr id="5600789" name="Group 241">
            <a:extLst>
              <a:ext uri="{FF2B5EF4-FFF2-40B4-BE49-F238E27FC236}">
                <a16:creationId xmlns:a16="http://schemas.microsoft.com/office/drawing/2014/main" id="{00000000-0008-0000-0700-0000157655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600799" name="Arc 242">
              <a:extLst>
                <a:ext uri="{FF2B5EF4-FFF2-40B4-BE49-F238E27FC236}">
                  <a16:creationId xmlns:a16="http://schemas.microsoft.com/office/drawing/2014/main" id="{00000000-0008-0000-0700-00001F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800" name="Group 243">
              <a:extLst>
                <a:ext uri="{FF2B5EF4-FFF2-40B4-BE49-F238E27FC236}">
                  <a16:creationId xmlns:a16="http://schemas.microsoft.com/office/drawing/2014/main" id="{00000000-0008-0000-0700-000020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801" name="Line 244">
                <a:extLst>
                  <a:ext uri="{FF2B5EF4-FFF2-40B4-BE49-F238E27FC236}">
                    <a16:creationId xmlns:a16="http://schemas.microsoft.com/office/drawing/2014/main" id="{00000000-0008-0000-0700-000021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2" name="Line 245">
                <a:extLst>
                  <a:ext uri="{FF2B5EF4-FFF2-40B4-BE49-F238E27FC236}">
                    <a16:creationId xmlns:a16="http://schemas.microsoft.com/office/drawing/2014/main" id="{00000000-0008-0000-0700-000022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3" name="Line 246">
                <a:extLst>
                  <a:ext uri="{FF2B5EF4-FFF2-40B4-BE49-F238E27FC236}">
                    <a16:creationId xmlns:a16="http://schemas.microsoft.com/office/drawing/2014/main" id="{00000000-0008-0000-0700-000023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4" name="Line 247">
                <a:extLst>
                  <a:ext uri="{FF2B5EF4-FFF2-40B4-BE49-F238E27FC236}">
                    <a16:creationId xmlns:a16="http://schemas.microsoft.com/office/drawing/2014/main" id="{00000000-0008-0000-0700-000024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805" name="Line 248">
                <a:extLst>
                  <a:ext uri="{FF2B5EF4-FFF2-40B4-BE49-F238E27FC236}">
                    <a16:creationId xmlns:a16="http://schemas.microsoft.com/office/drawing/2014/main" id="{00000000-0008-0000-0700-000025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5600790" name="Line 249">
            <a:extLst>
              <a:ext uri="{FF2B5EF4-FFF2-40B4-BE49-F238E27FC236}">
                <a16:creationId xmlns:a16="http://schemas.microsoft.com/office/drawing/2014/main" id="{00000000-0008-0000-0700-0000167655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1" name="Line 250">
            <a:extLst>
              <a:ext uri="{FF2B5EF4-FFF2-40B4-BE49-F238E27FC236}">
                <a16:creationId xmlns:a16="http://schemas.microsoft.com/office/drawing/2014/main" id="{00000000-0008-0000-0700-0000177655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2" name="Line 251">
            <a:extLst>
              <a:ext uri="{FF2B5EF4-FFF2-40B4-BE49-F238E27FC236}">
                <a16:creationId xmlns:a16="http://schemas.microsoft.com/office/drawing/2014/main" id="{00000000-0008-0000-0700-0000187655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3" name="Line 252">
            <a:extLst>
              <a:ext uri="{FF2B5EF4-FFF2-40B4-BE49-F238E27FC236}">
                <a16:creationId xmlns:a16="http://schemas.microsoft.com/office/drawing/2014/main" id="{00000000-0008-0000-0700-000019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4" name="Line 253">
            <a:extLst>
              <a:ext uri="{FF2B5EF4-FFF2-40B4-BE49-F238E27FC236}">
                <a16:creationId xmlns:a16="http://schemas.microsoft.com/office/drawing/2014/main" id="{00000000-0008-0000-0700-00001A7655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5" name="Line 254">
            <a:extLst>
              <a:ext uri="{FF2B5EF4-FFF2-40B4-BE49-F238E27FC236}">
                <a16:creationId xmlns:a16="http://schemas.microsoft.com/office/drawing/2014/main" id="{00000000-0008-0000-0700-00001B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6" name="Line 255">
            <a:extLst>
              <a:ext uri="{FF2B5EF4-FFF2-40B4-BE49-F238E27FC236}">
                <a16:creationId xmlns:a16="http://schemas.microsoft.com/office/drawing/2014/main" id="{00000000-0008-0000-0700-00001C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7" name="Line 256">
            <a:extLst>
              <a:ext uri="{FF2B5EF4-FFF2-40B4-BE49-F238E27FC236}">
                <a16:creationId xmlns:a16="http://schemas.microsoft.com/office/drawing/2014/main" id="{00000000-0008-0000-0700-00001D76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98" name="Line 257">
            <a:extLst>
              <a:ext uri="{FF2B5EF4-FFF2-40B4-BE49-F238E27FC236}">
                <a16:creationId xmlns:a16="http://schemas.microsoft.com/office/drawing/2014/main" id="{00000000-0008-0000-0700-00001E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6</xdr:col>
      <xdr:colOff>901700</xdr:colOff>
      <xdr:row>84</xdr:row>
      <xdr:rowOff>101600</xdr:rowOff>
    </xdr:from>
    <xdr:to>
      <xdr:col>6</xdr:col>
      <xdr:colOff>1689100</xdr:colOff>
      <xdr:row>84</xdr:row>
      <xdr:rowOff>101600</xdr:rowOff>
    </xdr:to>
    <xdr:sp macro="" textlink="">
      <xdr:nvSpPr>
        <xdr:cNvPr id="5600685" name="Line 268">
          <a:extLst>
            <a:ext uri="{FF2B5EF4-FFF2-40B4-BE49-F238E27FC236}">
              <a16:creationId xmlns:a16="http://schemas.microsoft.com/office/drawing/2014/main" id="{00000000-0008-0000-0700-0000AD755500}"/>
            </a:ext>
          </a:extLst>
        </xdr:cNvPr>
        <xdr:cNvSpPr>
          <a:spLocks noChangeShapeType="1"/>
        </xdr:cNvSpPr>
      </xdr:nvSpPr>
      <xdr:spPr bwMode="auto">
        <a:xfrm flipV="1">
          <a:off x="5575300" y="14249400"/>
          <a:ext cx="787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165100</xdr:colOff>
      <xdr:row>80</xdr:row>
      <xdr:rowOff>0</xdr:rowOff>
    </xdr:from>
    <xdr:to>
      <xdr:col>8</xdr:col>
      <xdr:colOff>711200</xdr:colOff>
      <xdr:row>80</xdr:row>
      <xdr:rowOff>0</xdr:rowOff>
    </xdr:to>
    <xdr:sp macro="" textlink="">
      <xdr:nvSpPr>
        <xdr:cNvPr id="5600686" name="Line 269">
          <a:extLst>
            <a:ext uri="{FF2B5EF4-FFF2-40B4-BE49-F238E27FC236}">
              <a16:creationId xmlns:a16="http://schemas.microsoft.com/office/drawing/2014/main" id="{00000000-0008-0000-0700-0000AE755500}"/>
            </a:ext>
          </a:extLst>
        </xdr:cNvPr>
        <xdr:cNvSpPr>
          <a:spLocks noChangeShapeType="1"/>
        </xdr:cNvSpPr>
      </xdr:nvSpPr>
      <xdr:spPr bwMode="auto">
        <a:xfrm flipV="1">
          <a:off x="4838700" y="13449300"/>
          <a:ext cx="2882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241300</xdr:colOff>
      <xdr:row>80</xdr:row>
      <xdr:rowOff>12700</xdr:rowOff>
    </xdr:from>
    <xdr:to>
      <xdr:col>8</xdr:col>
      <xdr:colOff>241300</xdr:colOff>
      <xdr:row>93</xdr:row>
      <xdr:rowOff>88900</xdr:rowOff>
    </xdr:to>
    <xdr:sp macro="" textlink="">
      <xdr:nvSpPr>
        <xdr:cNvPr id="5600687" name="Line 270">
          <a:extLst>
            <a:ext uri="{FF2B5EF4-FFF2-40B4-BE49-F238E27FC236}">
              <a16:creationId xmlns:a16="http://schemas.microsoft.com/office/drawing/2014/main" id="{00000000-0008-0000-0700-0000AF755500}"/>
            </a:ext>
          </a:extLst>
        </xdr:cNvPr>
        <xdr:cNvSpPr>
          <a:spLocks noChangeShapeType="1"/>
        </xdr:cNvSpPr>
      </xdr:nvSpPr>
      <xdr:spPr bwMode="auto">
        <a:xfrm>
          <a:off x="7454900" y="13462000"/>
          <a:ext cx="0" cy="2298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152400</xdr:colOff>
      <xdr:row>83</xdr:row>
      <xdr:rowOff>50800</xdr:rowOff>
    </xdr:from>
    <xdr:to>
      <xdr:col>6</xdr:col>
      <xdr:colOff>914400</xdr:colOff>
      <xdr:row>83</xdr:row>
      <xdr:rowOff>50800</xdr:rowOff>
    </xdr:to>
    <xdr:sp macro="" textlink="">
      <xdr:nvSpPr>
        <xdr:cNvPr id="5600688" name="Line 271">
          <a:extLst>
            <a:ext uri="{FF2B5EF4-FFF2-40B4-BE49-F238E27FC236}">
              <a16:creationId xmlns:a16="http://schemas.microsoft.com/office/drawing/2014/main" id="{00000000-0008-0000-0700-0000B0755500}"/>
            </a:ext>
          </a:extLst>
        </xdr:cNvPr>
        <xdr:cNvSpPr>
          <a:spLocks noChangeShapeType="1"/>
        </xdr:cNvSpPr>
      </xdr:nvSpPr>
      <xdr:spPr bwMode="auto">
        <a:xfrm>
          <a:off x="4826000" y="14020800"/>
          <a:ext cx="7620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165100</xdr:colOff>
      <xdr:row>80</xdr:row>
      <xdr:rowOff>0</xdr:rowOff>
    </xdr:from>
    <xdr:to>
      <xdr:col>6</xdr:col>
      <xdr:colOff>165100</xdr:colOff>
      <xdr:row>83</xdr:row>
      <xdr:rowOff>50800</xdr:rowOff>
    </xdr:to>
    <xdr:sp macro="" textlink="">
      <xdr:nvSpPr>
        <xdr:cNvPr id="5600689" name="Line 272">
          <a:extLst>
            <a:ext uri="{FF2B5EF4-FFF2-40B4-BE49-F238E27FC236}">
              <a16:creationId xmlns:a16="http://schemas.microsoft.com/office/drawing/2014/main" id="{00000000-0008-0000-0700-0000B1755500}"/>
            </a:ext>
          </a:extLst>
        </xdr:cNvPr>
        <xdr:cNvSpPr>
          <a:spLocks noChangeShapeType="1"/>
        </xdr:cNvSpPr>
      </xdr:nvSpPr>
      <xdr:spPr bwMode="auto">
        <a:xfrm>
          <a:off x="4838700" y="13449300"/>
          <a:ext cx="0" cy="5715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850900</xdr:colOff>
      <xdr:row>102</xdr:row>
      <xdr:rowOff>101600</xdr:rowOff>
    </xdr:from>
    <xdr:to>
      <xdr:col>8</xdr:col>
      <xdr:colOff>596900</xdr:colOff>
      <xdr:row>102</xdr:row>
      <xdr:rowOff>101600</xdr:rowOff>
    </xdr:to>
    <xdr:sp macro="" textlink="">
      <xdr:nvSpPr>
        <xdr:cNvPr id="5600690" name="Line 277">
          <a:extLst>
            <a:ext uri="{FF2B5EF4-FFF2-40B4-BE49-F238E27FC236}">
              <a16:creationId xmlns:a16="http://schemas.microsoft.com/office/drawing/2014/main" id="{00000000-0008-0000-0700-0000B2755500}"/>
            </a:ext>
          </a:extLst>
        </xdr:cNvPr>
        <xdr:cNvSpPr>
          <a:spLocks noChangeShapeType="1"/>
        </xdr:cNvSpPr>
      </xdr:nvSpPr>
      <xdr:spPr bwMode="auto">
        <a:xfrm>
          <a:off x="7213600" y="17310100"/>
          <a:ext cx="5080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12700</xdr:colOff>
      <xdr:row>98</xdr:row>
      <xdr:rowOff>139700</xdr:rowOff>
    </xdr:from>
    <xdr:to>
      <xdr:col>8</xdr:col>
      <xdr:colOff>508000</xdr:colOff>
      <xdr:row>98</xdr:row>
      <xdr:rowOff>139700</xdr:rowOff>
    </xdr:to>
    <xdr:sp macro="" textlink="">
      <xdr:nvSpPr>
        <xdr:cNvPr id="5600691" name="Line 278">
          <a:extLst>
            <a:ext uri="{FF2B5EF4-FFF2-40B4-BE49-F238E27FC236}">
              <a16:creationId xmlns:a16="http://schemas.microsoft.com/office/drawing/2014/main" id="{00000000-0008-0000-0700-0000B3755500}"/>
            </a:ext>
          </a:extLst>
        </xdr:cNvPr>
        <xdr:cNvSpPr>
          <a:spLocks noChangeShapeType="1"/>
        </xdr:cNvSpPr>
      </xdr:nvSpPr>
      <xdr:spPr bwMode="auto">
        <a:xfrm>
          <a:off x="7226300" y="16662400"/>
          <a:ext cx="4953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93</xdr:row>
      <xdr:rowOff>76200</xdr:rowOff>
    </xdr:from>
    <xdr:to>
      <xdr:col>8</xdr:col>
      <xdr:colOff>596900</xdr:colOff>
      <xdr:row>93</xdr:row>
      <xdr:rowOff>76200</xdr:rowOff>
    </xdr:to>
    <xdr:sp macro="" textlink="">
      <xdr:nvSpPr>
        <xdr:cNvPr id="5600692" name="Line 279">
          <a:extLst>
            <a:ext uri="{FF2B5EF4-FFF2-40B4-BE49-F238E27FC236}">
              <a16:creationId xmlns:a16="http://schemas.microsoft.com/office/drawing/2014/main" id="{00000000-0008-0000-0700-0000B4755500}"/>
            </a:ext>
          </a:extLst>
        </xdr:cNvPr>
        <xdr:cNvSpPr>
          <a:spLocks noChangeShapeType="1"/>
        </xdr:cNvSpPr>
      </xdr:nvSpPr>
      <xdr:spPr bwMode="auto">
        <a:xfrm flipV="1">
          <a:off x="5194300" y="15748000"/>
          <a:ext cx="25273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99</xdr:row>
      <xdr:rowOff>152400</xdr:rowOff>
    </xdr:from>
    <xdr:to>
      <xdr:col>6</xdr:col>
      <xdr:colOff>1562100</xdr:colOff>
      <xdr:row>99</xdr:row>
      <xdr:rowOff>152400</xdr:rowOff>
    </xdr:to>
    <xdr:sp macro="" textlink="">
      <xdr:nvSpPr>
        <xdr:cNvPr id="5600693" name="Line 280">
          <a:extLst>
            <a:ext uri="{FF2B5EF4-FFF2-40B4-BE49-F238E27FC236}">
              <a16:creationId xmlns:a16="http://schemas.microsoft.com/office/drawing/2014/main" id="{00000000-0008-0000-0700-0000B5755500}"/>
            </a:ext>
          </a:extLst>
        </xdr:cNvPr>
        <xdr:cNvSpPr>
          <a:spLocks noChangeShapeType="1"/>
        </xdr:cNvSpPr>
      </xdr:nvSpPr>
      <xdr:spPr bwMode="auto">
        <a:xfrm flipV="1">
          <a:off x="5194300" y="16840200"/>
          <a:ext cx="1041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520700</xdr:colOff>
      <xdr:row>93</xdr:row>
      <xdr:rowOff>76200</xdr:rowOff>
    </xdr:from>
    <xdr:to>
      <xdr:col>6</xdr:col>
      <xdr:colOff>520700</xdr:colOff>
      <xdr:row>100</xdr:row>
      <xdr:rowOff>0</xdr:rowOff>
    </xdr:to>
    <xdr:sp macro="" textlink="">
      <xdr:nvSpPr>
        <xdr:cNvPr id="5600694" name="Line 281">
          <a:extLst>
            <a:ext uri="{FF2B5EF4-FFF2-40B4-BE49-F238E27FC236}">
              <a16:creationId xmlns:a16="http://schemas.microsoft.com/office/drawing/2014/main" id="{00000000-0008-0000-0700-0000B6755500}"/>
            </a:ext>
          </a:extLst>
        </xdr:cNvPr>
        <xdr:cNvSpPr>
          <a:spLocks noChangeShapeType="1"/>
        </xdr:cNvSpPr>
      </xdr:nvSpPr>
      <xdr:spPr bwMode="auto">
        <a:xfrm>
          <a:off x="5194300" y="15748000"/>
          <a:ext cx="0" cy="11176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98</xdr:row>
      <xdr:rowOff>139700</xdr:rowOff>
    </xdr:from>
    <xdr:to>
      <xdr:col>8</xdr:col>
      <xdr:colOff>533400</xdr:colOff>
      <xdr:row>102</xdr:row>
      <xdr:rowOff>101600</xdr:rowOff>
    </xdr:to>
    <xdr:sp macro="" textlink="">
      <xdr:nvSpPr>
        <xdr:cNvPr id="5600695" name="Line 282">
          <a:extLst>
            <a:ext uri="{FF2B5EF4-FFF2-40B4-BE49-F238E27FC236}">
              <a16:creationId xmlns:a16="http://schemas.microsoft.com/office/drawing/2014/main" id="{00000000-0008-0000-0700-0000B7755500}"/>
            </a:ext>
          </a:extLst>
        </xdr:cNvPr>
        <xdr:cNvSpPr>
          <a:spLocks noChangeShapeType="1"/>
        </xdr:cNvSpPr>
      </xdr:nvSpPr>
      <xdr:spPr bwMode="auto">
        <a:xfrm>
          <a:off x="7721600" y="16662400"/>
          <a:ext cx="0" cy="647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93</xdr:row>
      <xdr:rowOff>63500</xdr:rowOff>
    </xdr:from>
    <xdr:to>
      <xdr:col>8</xdr:col>
      <xdr:colOff>533400</xdr:colOff>
      <xdr:row>98</xdr:row>
      <xdr:rowOff>139700</xdr:rowOff>
    </xdr:to>
    <xdr:sp macro="" textlink="">
      <xdr:nvSpPr>
        <xdr:cNvPr id="5600696" name="Line 283">
          <a:extLst>
            <a:ext uri="{FF2B5EF4-FFF2-40B4-BE49-F238E27FC236}">
              <a16:creationId xmlns:a16="http://schemas.microsoft.com/office/drawing/2014/main" id="{00000000-0008-0000-0700-0000B8755500}"/>
            </a:ext>
          </a:extLst>
        </xdr:cNvPr>
        <xdr:cNvSpPr>
          <a:spLocks noChangeShapeType="1"/>
        </xdr:cNvSpPr>
      </xdr:nvSpPr>
      <xdr:spPr bwMode="auto">
        <a:xfrm>
          <a:off x="7721600" y="15735300"/>
          <a:ext cx="0" cy="9271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102</xdr:row>
      <xdr:rowOff>101600</xdr:rowOff>
    </xdr:from>
    <xdr:to>
      <xdr:col>8</xdr:col>
      <xdr:colOff>0</xdr:colOff>
      <xdr:row>103</xdr:row>
      <xdr:rowOff>0</xdr:rowOff>
    </xdr:to>
    <xdr:sp macro="" textlink="">
      <xdr:nvSpPr>
        <xdr:cNvPr id="5600697" name="Line 284">
          <a:extLst>
            <a:ext uri="{FF2B5EF4-FFF2-40B4-BE49-F238E27FC236}">
              <a16:creationId xmlns:a16="http://schemas.microsoft.com/office/drawing/2014/main" id="{00000000-0008-0000-0700-0000B9755500}"/>
            </a:ext>
          </a:extLst>
        </xdr:cNvPr>
        <xdr:cNvSpPr>
          <a:spLocks noChangeShapeType="1"/>
        </xdr:cNvSpPr>
      </xdr:nvSpPr>
      <xdr:spPr bwMode="auto">
        <a:xfrm flipV="1">
          <a:off x="7213600" y="17310100"/>
          <a:ext cx="0" cy="635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1562100</xdr:colOff>
      <xdr:row>99</xdr:row>
      <xdr:rowOff>139700</xdr:rowOff>
    </xdr:from>
    <xdr:to>
      <xdr:col>6</xdr:col>
      <xdr:colOff>1562100</xdr:colOff>
      <xdr:row>103</xdr:row>
      <xdr:rowOff>0</xdr:rowOff>
    </xdr:to>
    <xdr:sp macro="" textlink="">
      <xdr:nvSpPr>
        <xdr:cNvPr id="5600698" name="Line 285">
          <a:extLst>
            <a:ext uri="{FF2B5EF4-FFF2-40B4-BE49-F238E27FC236}">
              <a16:creationId xmlns:a16="http://schemas.microsoft.com/office/drawing/2014/main" id="{00000000-0008-0000-0700-0000BA755500}"/>
            </a:ext>
          </a:extLst>
        </xdr:cNvPr>
        <xdr:cNvSpPr>
          <a:spLocks noChangeShapeType="1"/>
        </xdr:cNvSpPr>
      </xdr:nvSpPr>
      <xdr:spPr bwMode="auto">
        <a:xfrm flipH="1" flipV="1">
          <a:off x="6235700" y="16827500"/>
          <a:ext cx="0" cy="5461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1549400</xdr:colOff>
      <xdr:row>103</xdr:row>
      <xdr:rowOff>0</xdr:rowOff>
    </xdr:from>
    <xdr:to>
      <xdr:col>8</xdr:col>
      <xdr:colOff>0</xdr:colOff>
      <xdr:row>103</xdr:row>
      <xdr:rowOff>0</xdr:rowOff>
    </xdr:to>
    <xdr:sp macro="" textlink="">
      <xdr:nvSpPr>
        <xdr:cNvPr id="5600699" name="Line 286">
          <a:extLst>
            <a:ext uri="{FF2B5EF4-FFF2-40B4-BE49-F238E27FC236}">
              <a16:creationId xmlns:a16="http://schemas.microsoft.com/office/drawing/2014/main" id="{00000000-0008-0000-0700-0000BB755500}"/>
            </a:ext>
          </a:extLst>
        </xdr:cNvPr>
        <xdr:cNvSpPr>
          <a:spLocks noChangeShapeType="1"/>
        </xdr:cNvSpPr>
      </xdr:nvSpPr>
      <xdr:spPr bwMode="auto">
        <a:xfrm>
          <a:off x="6223000" y="17373600"/>
          <a:ext cx="990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749300</xdr:colOff>
      <xdr:row>89</xdr:row>
      <xdr:rowOff>76200</xdr:rowOff>
    </xdr:from>
    <xdr:to>
      <xdr:col>6</xdr:col>
      <xdr:colOff>1854200</xdr:colOff>
      <xdr:row>89</xdr:row>
      <xdr:rowOff>76200</xdr:rowOff>
    </xdr:to>
    <xdr:sp macro="" textlink="">
      <xdr:nvSpPr>
        <xdr:cNvPr id="5600700" name="Line 287">
          <a:extLst>
            <a:ext uri="{FF2B5EF4-FFF2-40B4-BE49-F238E27FC236}">
              <a16:creationId xmlns:a16="http://schemas.microsoft.com/office/drawing/2014/main" id="{00000000-0008-0000-0700-0000BC755500}"/>
            </a:ext>
          </a:extLst>
        </xdr:cNvPr>
        <xdr:cNvSpPr>
          <a:spLocks noChangeShapeType="1"/>
        </xdr:cNvSpPr>
      </xdr:nvSpPr>
      <xdr:spPr bwMode="auto">
        <a:xfrm>
          <a:off x="5422900" y="15074900"/>
          <a:ext cx="11049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1079500</xdr:colOff>
      <xdr:row>93</xdr:row>
      <xdr:rowOff>25400</xdr:rowOff>
    </xdr:from>
    <xdr:to>
      <xdr:col>6</xdr:col>
      <xdr:colOff>1524000</xdr:colOff>
      <xdr:row>93</xdr:row>
      <xdr:rowOff>25400</xdr:rowOff>
    </xdr:to>
    <xdr:sp macro="" textlink="">
      <xdr:nvSpPr>
        <xdr:cNvPr id="5600701" name="Line 288">
          <a:extLst>
            <a:ext uri="{FF2B5EF4-FFF2-40B4-BE49-F238E27FC236}">
              <a16:creationId xmlns:a16="http://schemas.microsoft.com/office/drawing/2014/main" id="{00000000-0008-0000-0700-0000BD755500}"/>
            </a:ext>
          </a:extLst>
        </xdr:cNvPr>
        <xdr:cNvSpPr>
          <a:spLocks noChangeShapeType="1"/>
        </xdr:cNvSpPr>
      </xdr:nvSpPr>
      <xdr:spPr bwMode="auto">
        <a:xfrm>
          <a:off x="5753100" y="15697200"/>
          <a:ext cx="4445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927100</xdr:colOff>
      <xdr:row>87</xdr:row>
      <xdr:rowOff>63500</xdr:rowOff>
    </xdr:from>
    <xdr:to>
      <xdr:col>8</xdr:col>
      <xdr:colOff>50800</xdr:colOff>
      <xdr:row>87</xdr:row>
      <xdr:rowOff>63500</xdr:rowOff>
    </xdr:to>
    <xdr:sp macro="" textlink="">
      <xdr:nvSpPr>
        <xdr:cNvPr id="5600702" name="Line 289">
          <a:extLst>
            <a:ext uri="{FF2B5EF4-FFF2-40B4-BE49-F238E27FC236}">
              <a16:creationId xmlns:a16="http://schemas.microsoft.com/office/drawing/2014/main" id="{00000000-0008-0000-0700-0000BE755500}"/>
            </a:ext>
          </a:extLst>
        </xdr:cNvPr>
        <xdr:cNvSpPr>
          <a:spLocks noChangeShapeType="1"/>
        </xdr:cNvSpPr>
      </xdr:nvSpPr>
      <xdr:spPr bwMode="auto">
        <a:xfrm>
          <a:off x="5600700" y="14719300"/>
          <a:ext cx="16637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762000</xdr:colOff>
      <xdr:row>88</xdr:row>
      <xdr:rowOff>63500</xdr:rowOff>
    </xdr:from>
    <xdr:to>
      <xdr:col>8</xdr:col>
      <xdr:colOff>63500</xdr:colOff>
      <xdr:row>88</xdr:row>
      <xdr:rowOff>63500</xdr:rowOff>
    </xdr:to>
    <xdr:sp macro="" textlink="">
      <xdr:nvSpPr>
        <xdr:cNvPr id="5600703" name="Line 290">
          <a:extLst>
            <a:ext uri="{FF2B5EF4-FFF2-40B4-BE49-F238E27FC236}">
              <a16:creationId xmlns:a16="http://schemas.microsoft.com/office/drawing/2014/main" id="{00000000-0008-0000-0700-0000BF755500}"/>
            </a:ext>
          </a:extLst>
        </xdr:cNvPr>
        <xdr:cNvSpPr>
          <a:spLocks noChangeShapeType="1"/>
        </xdr:cNvSpPr>
      </xdr:nvSpPr>
      <xdr:spPr bwMode="auto">
        <a:xfrm>
          <a:off x="5435600" y="14884400"/>
          <a:ext cx="18415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762000</xdr:colOff>
      <xdr:row>90</xdr:row>
      <xdr:rowOff>139700</xdr:rowOff>
    </xdr:from>
    <xdr:to>
      <xdr:col>8</xdr:col>
      <xdr:colOff>76200</xdr:colOff>
      <xdr:row>90</xdr:row>
      <xdr:rowOff>139700</xdr:rowOff>
    </xdr:to>
    <xdr:sp macro="" textlink="">
      <xdr:nvSpPr>
        <xdr:cNvPr id="5600704" name="Line 291">
          <a:extLst>
            <a:ext uri="{FF2B5EF4-FFF2-40B4-BE49-F238E27FC236}">
              <a16:creationId xmlns:a16="http://schemas.microsoft.com/office/drawing/2014/main" id="{00000000-0008-0000-0700-0000C0755500}"/>
            </a:ext>
          </a:extLst>
        </xdr:cNvPr>
        <xdr:cNvSpPr>
          <a:spLocks noChangeShapeType="1"/>
        </xdr:cNvSpPr>
      </xdr:nvSpPr>
      <xdr:spPr bwMode="auto">
        <a:xfrm>
          <a:off x="5435600" y="15316200"/>
          <a:ext cx="18542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1066800</xdr:colOff>
      <xdr:row>92</xdr:row>
      <xdr:rowOff>50800</xdr:rowOff>
    </xdr:from>
    <xdr:to>
      <xdr:col>8</xdr:col>
      <xdr:colOff>50800</xdr:colOff>
      <xdr:row>92</xdr:row>
      <xdr:rowOff>50800</xdr:rowOff>
    </xdr:to>
    <xdr:sp macro="" textlink="">
      <xdr:nvSpPr>
        <xdr:cNvPr id="5600705" name="Line 292">
          <a:extLst>
            <a:ext uri="{FF2B5EF4-FFF2-40B4-BE49-F238E27FC236}">
              <a16:creationId xmlns:a16="http://schemas.microsoft.com/office/drawing/2014/main" id="{00000000-0008-0000-0700-0000C1755500}"/>
            </a:ext>
          </a:extLst>
        </xdr:cNvPr>
        <xdr:cNvSpPr>
          <a:spLocks noChangeShapeType="1"/>
        </xdr:cNvSpPr>
      </xdr:nvSpPr>
      <xdr:spPr bwMode="auto">
        <a:xfrm>
          <a:off x="5740400" y="15557500"/>
          <a:ext cx="15240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1955800</xdr:colOff>
      <xdr:row>80</xdr:row>
      <xdr:rowOff>0</xdr:rowOff>
    </xdr:from>
    <xdr:to>
      <xdr:col>6</xdr:col>
      <xdr:colOff>1955800</xdr:colOff>
      <xdr:row>87</xdr:row>
      <xdr:rowOff>63500</xdr:rowOff>
    </xdr:to>
    <xdr:sp macro="" textlink="">
      <xdr:nvSpPr>
        <xdr:cNvPr id="5600706" name="Line 293">
          <a:extLst>
            <a:ext uri="{FF2B5EF4-FFF2-40B4-BE49-F238E27FC236}">
              <a16:creationId xmlns:a16="http://schemas.microsoft.com/office/drawing/2014/main" id="{00000000-0008-0000-0700-0000C2755500}"/>
            </a:ext>
          </a:extLst>
        </xdr:cNvPr>
        <xdr:cNvSpPr>
          <a:spLocks noChangeShapeType="1"/>
        </xdr:cNvSpPr>
      </xdr:nvSpPr>
      <xdr:spPr bwMode="auto">
        <a:xfrm>
          <a:off x="6629400" y="13449300"/>
          <a:ext cx="0" cy="12700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203200</xdr:colOff>
      <xdr:row>80</xdr:row>
      <xdr:rowOff>0</xdr:rowOff>
    </xdr:from>
    <xdr:to>
      <xdr:col>7</xdr:col>
      <xdr:colOff>203200</xdr:colOff>
      <xdr:row>90</xdr:row>
      <xdr:rowOff>139700</xdr:rowOff>
    </xdr:to>
    <xdr:sp macro="" textlink="">
      <xdr:nvSpPr>
        <xdr:cNvPr id="5600707" name="Line 294">
          <a:extLst>
            <a:ext uri="{FF2B5EF4-FFF2-40B4-BE49-F238E27FC236}">
              <a16:creationId xmlns:a16="http://schemas.microsoft.com/office/drawing/2014/main" id="{00000000-0008-0000-0700-0000C3755500}"/>
            </a:ext>
          </a:extLst>
        </xdr:cNvPr>
        <xdr:cNvSpPr>
          <a:spLocks noChangeShapeType="1"/>
        </xdr:cNvSpPr>
      </xdr:nvSpPr>
      <xdr:spPr bwMode="auto">
        <a:xfrm>
          <a:off x="6908800" y="13449300"/>
          <a:ext cx="0" cy="18669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87</xdr:row>
      <xdr:rowOff>63500</xdr:rowOff>
    </xdr:from>
    <xdr:to>
      <xdr:col>8</xdr:col>
      <xdr:colOff>50800</xdr:colOff>
      <xdr:row>88</xdr:row>
      <xdr:rowOff>63500</xdr:rowOff>
    </xdr:to>
    <xdr:sp macro="" textlink="">
      <xdr:nvSpPr>
        <xdr:cNvPr id="5600708" name="Line 295">
          <a:extLst>
            <a:ext uri="{FF2B5EF4-FFF2-40B4-BE49-F238E27FC236}">
              <a16:creationId xmlns:a16="http://schemas.microsoft.com/office/drawing/2014/main" id="{00000000-0008-0000-0700-0000C4755500}"/>
            </a:ext>
          </a:extLst>
        </xdr:cNvPr>
        <xdr:cNvSpPr>
          <a:spLocks noChangeShapeType="1"/>
        </xdr:cNvSpPr>
      </xdr:nvSpPr>
      <xdr:spPr bwMode="auto">
        <a:xfrm>
          <a:off x="7264400" y="14719300"/>
          <a:ext cx="0" cy="16510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90</xdr:row>
      <xdr:rowOff>139700</xdr:rowOff>
    </xdr:from>
    <xdr:to>
      <xdr:col>8</xdr:col>
      <xdr:colOff>50800</xdr:colOff>
      <xdr:row>92</xdr:row>
      <xdr:rowOff>50800</xdr:rowOff>
    </xdr:to>
    <xdr:sp macro="" textlink="">
      <xdr:nvSpPr>
        <xdr:cNvPr id="5600709" name="Line 296">
          <a:extLst>
            <a:ext uri="{FF2B5EF4-FFF2-40B4-BE49-F238E27FC236}">
              <a16:creationId xmlns:a16="http://schemas.microsoft.com/office/drawing/2014/main" id="{00000000-0008-0000-0700-0000C5755500}"/>
            </a:ext>
          </a:extLst>
        </xdr:cNvPr>
        <xdr:cNvSpPr>
          <a:spLocks noChangeShapeType="1"/>
        </xdr:cNvSpPr>
      </xdr:nvSpPr>
      <xdr:spPr bwMode="auto">
        <a:xfrm>
          <a:off x="7264400" y="15316200"/>
          <a:ext cx="0" cy="2413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84</xdr:row>
      <xdr:rowOff>101600</xdr:rowOff>
    </xdr:from>
    <xdr:to>
      <xdr:col>6</xdr:col>
      <xdr:colOff>914400</xdr:colOff>
      <xdr:row>84</xdr:row>
      <xdr:rowOff>101600</xdr:rowOff>
    </xdr:to>
    <xdr:sp macro="" textlink="">
      <xdr:nvSpPr>
        <xdr:cNvPr id="5600710" name="Line 297">
          <a:extLst>
            <a:ext uri="{FF2B5EF4-FFF2-40B4-BE49-F238E27FC236}">
              <a16:creationId xmlns:a16="http://schemas.microsoft.com/office/drawing/2014/main" id="{00000000-0008-0000-0700-0000C6755500}"/>
            </a:ext>
          </a:extLst>
        </xdr:cNvPr>
        <xdr:cNvSpPr>
          <a:spLocks noChangeShapeType="1"/>
        </xdr:cNvSpPr>
      </xdr:nvSpPr>
      <xdr:spPr bwMode="auto">
        <a:xfrm>
          <a:off x="4673600" y="1424940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89</xdr:row>
      <xdr:rowOff>76200</xdr:rowOff>
    </xdr:from>
    <xdr:to>
      <xdr:col>6</xdr:col>
      <xdr:colOff>749300</xdr:colOff>
      <xdr:row>89</xdr:row>
      <xdr:rowOff>76200</xdr:rowOff>
    </xdr:to>
    <xdr:sp macro="" textlink="">
      <xdr:nvSpPr>
        <xdr:cNvPr id="5600711" name="Line 298">
          <a:extLst>
            <a:ext uri="{FF2B5EF4-FFF2-40B4-BE49-F238E27FC236}">
              <a16:creationId xmlns:a16="http://schemas.microsoft.com/office/drawing/2014/main" id="{00000000-0008-0000-0700-0000C7755500}"/>
            </a:ext>
          </a:extLst>
        </xdr:cNvPr>
        <xdr:cNvSpPr>
          <a:spLocks noChangeShapeType="1"/>
        </xdr:cNvSpPr>
      </xdr:nvSpPr>
      <xdr:spPr bwMode="auto">
        <a:xfrm>
          <a:off x="4673600" y="15074900"/>
          <a:ext cx="7493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93</xdr:row>
      <xdr:rowOff>25400</xdr:rowOff>
    </xdr:from>
    <xdr:to>
      <xdr:col>6</xdr:col>
      <xdr:colOff>1066800</xdr:colOff>
      <xdr:row>93</xdr:row>
      <xdr:rowOff>25400</xdr:rowOff>
    </xdr:to>
    <xdr:sp macro="" textlink="">
      <xdr:nvSpPr>
        <xdr:cNvPr id="5600712" name="Line 299">
          <a:extLst>
            <a:ext uri="{FF2B5EF4-FFF2-40B4-BE49-F238E27FC236}">
              <a16:creationId xmlns:a16="http://schemas.microsoft.com/office/drawing/2014/main" id="{00000000-0008-0000-0700-0000C8755500}"/>
            </a:ext>
          </a:extLst>
        </xdr:cNvPr>
        <xdr:cNvSpPr>
          <a:spLocks noChangeShapeType="1"/>
        </xdr:cNvSpPr>
      </xdr:nvSpPr>
      <xdr:spPr bwMode="auto">
        <a:xfrm>
          <a:off x="4673600" y="15697200"/>
          <a:ext cx="10668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96</xdr:row>
      <xdr:rowOff>76200</xdr:rowOff>
    </xdr:from>
    <xdr:to>
      <xdr:col>6</xdr:col>
      <xdr:colOff>520700</xdr:colOff>
      <xdr:row>96</xdr:row>
      <xdr:rowOff>76200</xdr:rowOff>
    </xdr:to>
    <xdr:sp macro="" textlink="">
      <xdr:nvSpPr>
        <xdr:cNvPr id="5600713" name="Line 300">
          <a:extLst>
            <a:ext uri="{FF2B5EF4-FFF2-40B4-BE49-F238E27FC236}">
              <a16:creationId xmlns:a16="http://schemas.microsoft.com/office/drawing/2014/main" id="{00000000-0008-0000-0700-0000C9755500}"/>
            </a:ext>
          </a:extLst>
        </xdr:cNvPr>
        <xdr:cNvSpPr>
          <a:spLocks noChangeShapeType="1"/>
        </xdr:cNvSpPr>
      </xdr:nvSpPr>
      <xdr:spPr bwMode="auto">
        <a:xfrm>
          <a:off x="4673600" y="16256000"/>
          <a:ext cx="52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165100</xdr:colOff>
      <xdr:row>103</xdr:row>
      <xdr:rowOff>0</xdr:rowOff>
    </xdr:from>
    <xdr:to>
      <xdr:col>7</xdr:col>
      <xdr:colOff>165100</xdr:colOff>
      <xdr:row>104</xdr:row>
      <xdr:rowOff>12700</xdr:rowOff>
    </xdr:to>
    <xdr:sp macro="" textlink="">
      <xdr:nvSpPr>
        <xdr:cNvPr id="5600714" name="Line 301">
          <a:extLst>
            <a:ext uri="{FF2B5EF4-FFF2-40B4-BE49-F238E27FC236}">
              <a16:creationId xmlns:a16="http://schemas.microsoft.com/office/drawing/2014/main" id="{00000000-0008-0000-0700-0000CA755500}"/>
            </a:ext>
          </a:extLst>
        </xdr:cNvPr>
        <xdr:cNvSpPr>
          <a:spLocks noChangeShapeType="1"/>
        </xdr:cNvSpPr>
      </xdr:nvSpPr>
      <xdr:spPr bwMode="auto">
        <a:xfrm>
          <a:off x="6870700" y="17373600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76200</xdr:rowOff>
    </xdr:from>
    <xdr:to>
      <xdr:col>6</xdr:col>
      <xdr:colOff>165100</xdr:colOff>
      <xdr:row>81</xdr:row>
      <xdr:rowOff>76200</xdr:rowOff>
    </xdr:to>
    <xdr:sp macro="" textlink="">
      <xdr:nvSpPr>
        <xdr:cNvPr id="5600715" name="Line 302">
          <a:extLst>
            <a:ext uri="{FF2B5EF4-FFF2-40B4-BE49-F238E27FC236}">
              <a16:creationId xmlns:a16="http://schemas.microsoft.com/office/drawing/2014/main" id="{00000000-0008-0000-0700-0000CB755500}"/>
            </a:ext>
          </a:extLst>
        </xdr:cNvPr>
        <xdr:cNvSpPr>
          <a:spLocks noChangeShapeType="1"/>
        </xdr:cNvSpPr>
      </xdr:nvSpPr>
      <xdr:spPr bwMode="auto">
        <a:xfrm>
          <a:off x="4673600" y="13703300"/>
          <a:ext cx="165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1943100</xdr:colOff>
      <xdr:row>83</xdr:row>
      <xdr:rowOff>88900</xdr:rowOff>
    </xdr:from>
    <xdr:to>
      <xdr:col>9</xdr:col>
      <xdr:colOff>0</xdr:colOff>
      <xdr:row>83</xdr:row>
      <xdr:rowOff>88900</xdr:rowOff>
    </xdr:to>
    <xdr:sp macro="" textlink="">
      <xdr:nvSpPr>
        <xdr:cNvPr id="5600716" name="Line 303">
          <a:extLst>
            <a:ext uri="{FF2B5EF4-FFF2-40B4-BE49-F238E27FC236}">
              <a16:creationId xmlns:a16="http://schemas.microsoft.com/office/drawing/2014/main" id="{00000000-0008-0000-0700-0000CC755500}"/>
            </a:ext>
          </a:extLst>
        </xdr:cNvPr>
        <xdr:cNvSpPr>
          <a:spLocks noChangeShapeType="1"/>
        </xdr:cNvSpPr>
      </xdr:nvSpPr>
      <xdr:spPr bwMode="auto">
        <a:xfrm flipV="1">
          <a:off x="6616700" y="14058900"/>
          <a:ext cx="11049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203200</xdr:colOff>
      <xdr:row>85</xdr:row>
      <xdr:rowOff>76200</xdr:rowOff>
    </xdr:from>
    <xdr:to>
      <xdr:col>9</xdr:col>
      <xdr:colOff>0</xdr:colOff>
      <xdr:row>85</xdr:row>
      <xdr:rowOff>76200</xdr:rowOff>
    </xdr:to>
    <xdr:sp macro="" textlink="">
      <xdr:nvSpPr>
        <xdr:cNvPr id="5600717" name="Line 304">
          <a:extLst>
            <a:ext uri="{FF2B5EF4-FFF2-40B4-BE49-F238E27FC236}">
              <a16:creationId xmlns:a16="http://schemas.microsoft.com/office/drawing/2014/main" id="{00000000-0008-0000-0700-0000CD755500}"/>
            </a:ext>
          </a:extLst>
        </xdr:cNvPr>
        <xdr:cNvSpPr>
          <a:spLocks noChangeShapeType="1"/>
        </xdr:cNvSpPr>
      </xdr:nvSpPr>
      <xdr:spPr bwMode="auto">
        <a:xfrm flipV="1">
          <a:off x="6908800" y="14401800"/>
          <a:ext cx="8128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87</xdr:row>
      <xdr:rowOff>139700</xdr:rowOff>
    </xdr:from>
    <xdr:to>
      <xdr:col>9</xdr:col>
      <xdr:colOff>0</xdr:colOff>
      <xdr:row>87</xdr:row>
      <xdr:rowOff>139700</xdr:rowOff>
    </xdr:to>
    <xdr:sp macro="" textlink="">
      <xdr:nvSpPr>
        <xdr:cNvPr id="5600718" name="Line 305">
          <a:extLst>
            <a:ext uri="{FF2B5EF4-FFF2-40B4-BE49-F238E27FC236}">
              <a16:creationId xmlns:a16="http://schemas.microsoft.com/office/drawing/2014/main" id="{00000000-0008-0000-0700-0000CE755500}"/>
            </a:ext>
          </a:extLst>
        </xdr:cNvPr>
        <xdr:cNvSpPr>
          <a:spLocks noChangeShapeType="1"/>
        </xdr:cNvSpPr>
      </xdr:nvSpPr>
      <xdr:spPr bwMode="auto">
        <a:xfrm flipV="1">
          <a:off x="7264400" y="14795500"/>
          <a:ext cx="4572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89</xdr:row>
      <xdr:rowOff>88900</xdr:rowOff>
    </xdr:from>
    <xdr:to>
      <xdr:col>9</xdr:col>
      <xdr:colOff>0</xdr:colOff>
      <xdr:row>89</xdr:row>
      <xdr:rowOff>88900</xdr:rowOff>
    </xdr:to>
    <xdr:sp macro="" textlink="">
      <xdr:nvSpPr>
        <xdr:cNvPr id="5600719" name="Line 307">
          <a:extLst>
            <a:ext uri="{FF2B5EF4-FFF2-40B4-BE49-F238E27FC236}">
              <a16:creationId xmlns:a16="http://schemas.microsoft.com/office/drawing/2014/main" id="{00000000-0008-0000-0700-0000CF755500}"/>
            </a:ext>
          </a:extLst>
        </xdr:cNvPr>
        <xdr:cNvSpPr>
          <a:spLocks noChangeShapeType="1"/>
        </xdr:cNvSpPr>
      </xdr:nvSpPr>
      <xdr:spPr bwMode="auto">
        <a:xfrm flipV="1">
          <a:off x="7721600" y="150876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50800</xdr:colOff>
      <xdr:row>91</xdr:row>
      <xdr:rowOff>76200</xdr:rowOff>
    </xdr:from>
    <xdr:to>
      <xdr:col>9</xdr:col>
      <xdr:colOff>12700</xdr:colOff>
      <xdr:row>91</xdr:row>
      <xdr:rowOff>76200</xdr:rowOff>
    </xdr:to>
    <xdr:sp macro="" textlink="">
      <xdr:nvSpPr>
        <xdr:cNvPr id="5600720" name="Line 308">
          <a:extLst>
            <a:ext uri="{FF2B5EF4-FFF2-40B4-BE49-F238E27FC236}">
              <a16:creationId xmlns:a16="http://schemas.microsoft.com/office/drawing/2014/main" id="{00000000-0008-0000-0700-0000D0755500}"/>
            </a:ext>
          </a:extLst>
        </xdr:cNvPr>
        <xdr:cNvSpPr>
          <a:spLocks noChangeShapeType="1"/>
        </xdr:cNvSpPr>
      </xdr:nvSpPr>
      <xdr:spPr bwMode="auto">
        <a:xfrm flipH="1" flipV="1">
          <a:off x="7264400" y="15417800"/>
          <a:ext cx="4699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96</xdr:row>
      <xdr:rowOff>76200</xdr:rowOff>
    </xdr:from>
    <xdr:to>
      <xdr:col>9</xdr:col>
      <xdr:colOff>0</xdr:colOff>
      <xdr:row>96</xdr:row>
      <xdr:rowOff>76200</xdr:rowOff>
    </xdr:to>
    <xdr:sp macro="" textlink="">
      <xdr:nvSpPr>
        <xdr:cNvPr id="5600721" name="Line 309">
          <a:extLst>
            <a:ext uri="{FF2B5EF4-FFF2-40B4-BE49-F238E27FC236}">
              <a16:creationId xmlns:a16="http://schemas.microsoft.com/office/drawing/2014/main" id="{00000000-0008-0000-0700-0000D1755500}"/>
            </a:ext>
          </a:extLst>
        </xdr:cNvPr>
        <xdr:cNvSpPr>
          <a:spLocks noChangeShapeType="1"/>
        </xdr:cNvSpPr>
      </xdr:nvSpPr>
      <xdr:spPr bwMode="auto">
        <a:xfrm>
          <a:off x="7721600" y="162560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533400</xdr:colOff>
      <xdr:row>100</xdr:row>
      <xdr:rowOff>88900</xdr:rowOff>
    </xdr:from>
    <xdr:to>
      <xdr:col>9</xdr:col>
      <xdr:colOff>0</xdr:colOff>
      <xdr:row>100</xdr:row>
      <xdr:rowOff>88900</xdr:rowOff>
    </xdr:to>
    <xdr:sp macro="" textlink="">
      <xdr:nvSpPr>
        <xdr:cNvPr id="5600722" name="Line 310">
          <a:extLst>
            <a:ext uri="{FF2B5EF4-FFF2-40B4-BE49-F238E27FC236}">
              <a16:creationId xmlns:a16="http://schemas.microsoft.com/office/drawing/2014/main" id="{00000000-0008-0000-0700-0000D2755500}"/>
            </a:ext>
          </a:extLst>
        </xdr:cNvPr>
        <xdr:cNvSpPr>
          <a:spLocks noChangeShapeType="1"/>
        </xdr:cNvSpPr>
      </xdr:nvSpPr>
      <xdr:spPr bwMode="auto">
        <a:xfrm>
          <a:off x="7721600" y="169545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241300</xdr:colOff>
      <xdr:row>89</xdr:row>
      <xdr:rowOff>88900</xdr:rowOff>
    </xdr:from>
    <xdr:to>
      <xdr:col>8</xdr:col>
      <xdr:colOff>508000</xdr:colOff>
      <xdr:row>89</xdr:row>
      <xdr:rowOff>88900</xdr:rowOff>
    </xdr:to>
    <xdr:sp macro="" textlink="">
      <xdr:nvSpPr>
        <xdr:cNvPr id="5600723" name="Line 278">
          <a:extLst>
            <a:ext uri="{FF2B5EF4-FFF2-40B4-BE49-F238E27FC236}">
              <a16:creationId xmlns:a16="http://schemas.microsoft.com/office/drawing/2014/main" id="{00000000-0008-0000-0700-0000D3755500}"/>
            </a:ext>
          </a:extLst>
        </xdr:cNvPr>
        <xdr:cNvSpPr>
          <a:spLocks noChangeShapeType="1"/>
        </xdr:cNvSpPr>
      </xdr:nvSpPr>
      <xdr:spPr bwMode="auto">
        <a:xfrm>
          <a:off x="7454900" y="15087600"/>
          <a:ext cx="2667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76200</xdr:colOff>
      <xdr:row>1</xdr:row>
      <xdr:rowOff>12700</xdr:rowOff>
    </xdr:from>
    <xdr:to>
      <xdr:col>19</xdr:col>
      <xdr:colOff>0</xdr:colOff>
      <xdr:row>31</xdr:row>
      <xdr:rowOff>101600</xdr:rowOff>
    </xdr:to>
    <xdr:grpSp>
      <xdr:nvGrpSpPr>
        <xdr:cNvPr id="5600724" name="Group 232">
          <a:extLst>
            <a:ext uri="{FF2B5EF4-FFF2-40B4-BE49-F238E27FC236}">
              <a16:creationId xmlns:a16="http://schemas.microsoft.com/office/drawing/2014/main" id="{00000000-0008-0000-0700-0000D4755500}"/>
            </a:ext>
          </a:extLst>
        </xdr:cNvPr>
        <xdr:cNvGrpSpPr>
          <a:grpSpLocks/>
        </xdr:cNvGrpSpPr>
      </xdr:nvGrpSpPr>
      <xdr:grpSpPr bwMode="auto">
        <a:xfrm>
          <a:off x="13646150" y="184150"/>
          <a:ext cx="2209800" cy="5181600"/>
          <a:chOff x="3421" y="5379"/>
          <a:chExt cx="2289" cy="5759"/>
        </a:xfrm>
      </xdr:grpSpPr>
      <xdr:grpSp>
        <xdr:nvGrpSpPr>
          <xdr:cNvPr id="5600763" name="Group 233">
            <a:extLst>
              <a:ext uri="{FF2B5EF4-FFF2-40B4-BE49-F238E27FC236}">
                <a16:creationId xmlns:a16="http://schemas.microsoft.com/office/drawing/2014/main" id="{00000000-0008-0000-0700-0000FB755500}"/>
              </a:ext>
            </a:extLst>
          </xdr:cNvPr>
          <xdr:cNvGrpSpPr>
            <a:grpSpLocks/>
          </xdr:cNvGrpSpPr>
        </xdr:nvGrpSpPr>
        <xdr:grpSpPr bwMode="auto">
          <a:xfrm>
            <a:off x="4047" y="5379"/>
            <a:ext cx="515" cy="4096"/>
            <a:chOff x="4047" y="5379"/>
            <a:chExt cx="515" cy="4096"/>
          </a:xfrm>
        </xdr:grpSpPr>
        <xdr:sp macro="" textlink="">
          <xdr:nvSpPr>
            <xdr:cNvPr id="5600781" name="Arc 234">
              <a:extLst>
                <a:ext uri="{FF2B5EF4-FFF2-40B4-BE49-F238E27FC236}">
                  <a16:creationId xmlns:a16="http://schemas.microsoft.com/office/drawing/2014/main" id="{00000000-0008-0000-0700-00000D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782" name="Group 235">
              <a:extLst>
                <a:ext uri="{FF2B5EF4-FFF2-40B4-BE49-F238E27FC236}">
                  <a16:creationId xmlns:a16="http://schemas.microsoft.com/office/drawing/2014/main" id="{00000000-0008-0000-0700-00000E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783" name="Line 236">
                <a:extLst>
                  <a:ext uri="{FF2B5EF4-FFF2-40B4-BE49-F238E27FC236}">
                    <a16:creationId xmlns:a16="http://schemas.microsoft.com/office/drawing/2014/main" id="{00000000-0008-0000-0700-00000F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4" name="Line 237">
                <a:extLst>
                  <a:ext uri="{FF2B5EF4-FFF2-40B4-BE49-F238E27FC236}">
                    <a16:creationId xmlns:a16="http://schemas.microsoft.com/office/drawing/2014/main" id="{00000000-0008-0000-0700-000010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5" name="Line 238">
                <a:extLst>
                  <a:ext uri="{FF2B5EF4-FFF2-40B4-BE49-F238E27FC236}">
                    <a16:creationId xmlns:a16="http://schemas.microsoft.com/office/drawing/2014/main" id="{00000000-0008-0000-0700-000011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6" name="Line 239">
                <a:extLst>
                  <a:ext uri="{FF2B5EF4-FFF2-40B4-BE49-F238E27FC236}">
                    <a16:creationId xmlns:a16="http://schemas.microsoft.com/office/drawing/2014/main" id="{00000000-0008-0000-0700-000012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7" name="Line 240">
                <a:extLst>
                  <a:ext uri="{FF2B5EF4-FFF2-40B4-BE49-F238E27FC236}">
                    <a16:creationId xmlns:a16="http://schemas.microsoft.com/office/drawing/2014/main" id="{00000000-0008-0000-0700-000013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grpSp>
        <xdr:nvGrpSpPr>
          <xdr:cNvPr id="5600764" name="Group 241">
            <a:extLst>
              <a:ext uri="{FF2B5EF4-FFF2-40B4-BE49-F238E27FC236}">
                <a16:creationId xmlns:a16="http://schemas.microsoft.com/office/drawing/2014/main" id="{00000000-0008-0000-0700-0000FC755500}"/>
              </a:ext>
            </a:extLst>
          </xdr:cNvPr>
          <xdr:cNvGrpSpPr>
            <a:grpSpLocks/>
          </xdr:cNvGrpSpPr>
        </xdr:nvGrpSpPr>
        <xdr:grpSpPr bwMode="auto">
          <a:xfrm flipH="1">
            <a:off x="4560" y="5379"/>
            <a:ext cx="515" cy="4096"/>
            <a:chOff x="4047" y="5379"/>
            <a:chExt cx="515" cy="4096"/>
          </a:xfrm>
        </xdr:grpSpPr>
        <xdr:sp macro="" textlink="">
          <xdr:nvSpPr>
            <xdr:cNvPr id="5600774" name="Arc 242">
              <a:extLst>
                <a:ext uri="{FF2B5EF4-FFF2-40B4-BE49-F238E27FC236}">
                  <a16:creationId xmlns:a16="http://schemas.microsoft.com/office/drawing/2014/main" id="{00000000-0008-0000-0700-000006765500}"/>
                </a:ext>
              </a:extLst>
            </xdr:cNvPr>
            <xdr:cNvSpPr>
              <a:spLocks/>
            </xdr:cNvSpPr>
          </xdr:nvSpPr>
          <xdr:spPr bwMode="auto">
            <a:xfrm flipH="1">
              <a:off x="4201" y="5379"/>
              <a:ext cx="361" cy="964"/>
            </a:xfrm>
            <a:custGeom>
              <a:avLst/>
              <a:gdLst>
                <a:gd name="T0" fmla="*/ 0 w 21600"/>
                <a:gd name="T1" fmla="*/ 0 h 21600"/>
                <a:gd name="T2" fmla="*/ 0 w 21600"/>
                <a:gd name="T3" fmla="*/ 0 h 21600"/>
                <a:gd name="T4" fmla="*/ 0 w 21600"/>
                <a:gd name="T5" fmla="*/ 0 h 21600"/>
                <a:gd name="T6" fmla="*/ 0 60000 65536"/>
                <a:gd name="T7" fmla="*/ 0 60000 65536"/>
                <a:gd name="T8" fmla="*/ 0 60000 65536"/>
                <a:gd name="T9" fmla="*/ 0 w 21600"/>
                <a:gd name="T10" fmla="*/ 0 h 21600"/>
                <a:gd name="T11" fmla="*/ 21600 w 21600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21600" h="21600" fill="none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</a:path>
                <a:path w="21600" h="21600" stroke="0" extrusionOk="0">
                  <a:moveTo>
                    <a:pt x="-1" y="0"/>
                  </a:moveTo>
                  <a:cubicBezTo>
                    <a:pt x="11929" y="0"/>
                    <a:pt x="21600" y="9670"/>
                    <a:pt x="21600" y="21600"/>
                  </a:cubicBezTo>
                  <a:lnTo>
                    <a:pt x="0" y="21600"/>
                  </a:lnTo>
                  <a:lnTo>
                    <a:pt x="-1" y="0"/>
                  </a:lnTo>
                  <a:close/>
                </a:path>
              </a:pathLst>
            </a:custGeom>
            <a:noFill/>
            <a:ln w="9525">
              <a:solidFill>
                <a:srgbClr val="00B0F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5600775" name="Group 243">
              <a:extLst>
                <a:ext uri="{FF2B5EF4-FFF2-40B4-BE49-F238E27FC236}">
                  <a16:creationId xmlns:a16="http://schemas.microsoft.com/office/drawing/2014/main" id="{00000000-0008-0000-0700-0000077655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47" y="6306"/>
              <a:ext cx="285" cy="3169"/>
              <a:chOff x="4050" y="6306"/>
              <a:chExt cx="285" cy="3169"/>
            </a:xfrm>
          </xdr:grpSpPr>
          <xdr:sp macro="" textlink="">
            <xdr:nvSpPr>
              <xdr:cNvPr id="5600776" name="Line 244">
                <a:extLst>
                  <a:ext uri="{FF2B5EF4-FFF2-40B4-BE49-F238E27FC236}">
                    <a16:creationId xmlns:a16="http://schemas.microsoft.com/office/drawing/2014/main" id="{00000000-0008-0000-0700-000008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202" y="6306"/>
                <a:ext cx="0" cy="936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7" name="Line 245">
                <a:extLst>
                  <a:ext uri="{FF2B5EF4-FFF2-40B4-BE49-F238E27FC236}">
                    <a16:creationId xmlns:a16="http://schemas.microsoft.com/office/drawing/2014/main" id="{00000000-0008-0000-0700-000009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4050" y="7242"/>
                <a:ext cx="152" cy="254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8" name="Line 246">
                <a:extLst>
                  <a:ext uri="{FF2B5EF4-FFF2-40B4-BE49-F238E27FC236}">
                    <a16:creationId xmlns:a16="http://schemas.microsoft.com/office/drawing/2014/main" id="{00000000-0008-0000-0700-00000A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7496"/>
                <a:ext cx="0" cy="642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79" name="Line 247">
                <a:extLst>
                  <a:ext uri="{FF2B5EF4-FFF2-40B4-BE49-F238E27FC236}">
                    <a16:creationId xmlns:a16="http://schemas.microsoft.com/office/drawing/2014/main" id="{00000000-0008-0000-0700-00000B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050" y="8138"/>
                <a:ext cx="285" cy="367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600780" name="Line 248">
                <a:extLst>
                  <a:ext uri="{FF2B5EF4-FFF2-40B4-BE49-F238E27FC236}">
                    <a16:creationId xmlns:a16="http://schemas.microsoft.com/office/drawing/2014/main" id="{00000000-0008-0000-0700-00000C7655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335" y="8505"/>
                <a:ext cx="0" cy="970"/>
              </a:xfrm>
              <a:prstGeom prst="line">
                <a:avLst/>
              </a:prstGeom>
              <a:noFill/>
              <a:ln w="9525">
                <a:solidFill>
                  <a:srgbClr val="00B0F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5600765" name="Line 249">
            <a:extLst>
              <a:ext uri="{FF2B5EF4-FFF2-40B4-BE49-F238E27FC236}">
                <a16:creationId xmlns:a16="http://schemas.microsoft.com/office/drawing/2014/main" id="{00000000-0008-0000-0700-0000FD755500}"/>
              </a:ext>
            </a:extLst>
          </xdr:cNvPr>
          <xdr:cNvSpPr>
            <a:spLocks noChangeShapeType="1"/>
          </xdr:cNvSpPr>
        </xdr:nvSpPr>
        <xdr:spPr bwMode="auto">
          <a:xfrm>
            <a:off x="4332" y="9310"/>
            <a:ext cx="2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6" name="Line 250">
            <a:extLst>
              <a:ext uri="{FF2B5EF4-FFF2-40B4-BE49-F238E27FC236}">
                <a16:creationId xmlns:a16="http://schemas.microsoft.com/office/drawing/2014/main" id="{00000000-0008-0000-0700-0000FE755500}"/>
              </a:ext>
            </a:extLst>
          </xdr:cNvPr>
          <xdr:cNvSpPr>
            <a:spLocks noChangeShapeType="1"/>
          </xdr:cNvSpPr>
        </xdr:nvSpPr>
        <xdr:spPr bwMode="auto">
          <a:xfrm>
            <a:off x="4790" y="9310"/>
            <a:ext cx="0" cy="1319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7" name="Line 251">
            <a:extLst>
              <a:ext uri="{FF2B5EF4-FFF2-40B4-BE49-F238E27FC236}">
                <a16:creationId xmlns:a16="http://schemas.microsoft.com/office/drawing/2014/main" id="{00000000-0008-0000-0700-0000FF755500}"/>
              </a:ext>
            </a:extLst>
          </xdr:cNvPr>
          <xdr:cNvSpPr>
            <a:spLocks noChangeShapeType="1"/>
          </xdr:cNvSpPr>
        </xdr:nvSpPr>
        <xdr:spPr bwMode="auto">
          <a:xfrm>
            <a:off x="4330" y="10629"/>
            <a:ext cx="458" cy="0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8" name="Line 252">
            <a:extLst>
              <a:ext uri="{FF2B5EF4-FFF2-40B4-BE49-F238E27FC236}">
                <a16:creationId xmlns:a16="http://schemas.microsoft.com/office/drawing/2014/main" id="{00000000-0008-0000-0700-000000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5709" y="10163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69" name="Line 253">
            <a:extLst>
              <a:ext uri="{FF2B5EF4-FFF2-40B4-BE49-F238E27FC236}">
                <a16:creationId xmlns:a16="http://schemas.microsoft.com/office/drawing/2014/main" id="{00000000-0008-0000-0700-000001765500}"/>
              </a:ext>
            </a:extLst>
          </xdr:cNvPr>
          <xdr:cNvSpPr>
            <a:spLocks noChangeShapeType="1"/>
          </xdr:cNvSpPr>
        </xdr:nvSpPr>
        <xdr:spPr bwMode="auto">
          <a:xfrm>
            <a:off x="4796" y="10419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0" name="Line 254">
            <a:extLst>
              <a:ext uri="{FF2B5EF4-FFF2-40B4-BE49-F238E27FC236}">
                <a16:creationId xmlns:a16="http://schemas.microsoft.com/office/drawing/2014/main" id="{00000000-0008-0000-0700-000002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804" y="8797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1" name="Line 255">
            <a:extLst>
              <a:ext uri="{FF2B5EF4-FFF2-40B4-BE49-F238E27FC236}">
                <a16:creationId xmlns:a16="http://schemas.microsoft.com/office/drawing/2014/main" id="{00000000-0008-0000-0700-0000037655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1" y="10178"/>
            <a:ext cx="1" cy="946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2" name="Line 256">
            <a:extLst>
              <a:ext uri="{FF2B5EF4-FFF2-40B4-BE49-F238E27FC236}">
                <a16:creationId xmlns:a16="http://schemas.microsoft.com/office/drawing/2014/main" id="{00000000-0008-0000-0700-000004765500}"/>
              </a:ext>
            </a:extLst>
          </xdr:cNvPr>
          <xdr:cNvSpPr>
            <a:spLocks noChangeShapeType="1"/>
          </xdr:cNvSpPr>
        </xdr:nvSpPr>
        <xdr:spPr bwMode="auto">
          <a:xfrm flipH="1">
            <a:off x="3421" y="10426"/>
            <a:ext cx="909" cy="71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00773" name="Line 257">
            <a:extLst>
              <a:ext uri="{FF2B5EF4-FFF2-40B4-BE49-F238E27FC236}">
                <a16:creationId xmlns:a16="http://schemas.microsoft.com/office/drawing/2014/main" id="{00000000-0008-0000-0700-000005765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429" y="8804"/>
            <a:ext cx="905" cy="1372"/>
          </a:xfrm>
          <a:prstGeom prst="line">
            <a:avLst/>
          </a:prstGeom>
          <a:noFill/>
          <a:ln w="9525">
            <a:solidFill>
              <a:srgbClr val="00B0F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914400</xdr:colOff>
      <xdr:row>11</xdr:row>
      <xdr:rowOff>101600</xdr:rowOff>
    </xdr:from>
    <xdr:to>
      <xdr:col>18</xdr:col>
      <xdr:colOff>406400</xdr:colOff>
      <xdr:row>11</xdr:row>
      <xdr:rowOff>101600</xdr:rowOff>
    </xdr:to>
    <xdr:sp macro="" textlink="">
      <xdr:nvSpPr>
        <xdr:cNvPr id="5600725" name="Line 268">
          <a:extLst>
            <a:ext uri="{FF2B5EF4-FFF2-40B4-BE49-F238E27FC236}">
              <a16:creationId xmlns:a16="http://schemas.microsoft.com/office/drawing/2014/main" id="{00000000-0008-0000-0700-0000D5755500}"/>
            </a:ext>
          </a:extLst>
        </xdr:cNvPr>
        <xdr:cNvSpPr>
          <a:spLocks noChangeShapeType="1"/>
        </xdr:cNvSpPr>
      </xdr:nvSpPr>
      <xdr:spPr bwMode="auto">
        <a:xfrm flipV="1">
          <a:off x="15735300" y="2032000"/>
          <a:ext cx="7366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101600</xdr:colOff>
      <xdr:row>1</xdr:row>
      <xdr:rowOff>12700</xdr:rowOff>
    </xdr:from>
    <xdr:to>
      <xdr:col>19</xdr:col>
      <xdr:colOff>368300</xdr:colOff>
      <xdr:row>1</xdr:row>
      <xdr:rowOff>12700</xdr:rowOff>
    </xdr:to>
    <xdr:sp macro="" textlink="">
      <xdr:nvSpPr>
        <xdr:cNvPr id="5600726" name="Line 269">
          <a:extLst>
            <a:ext uri="{FF2B5EF4-FFF2-40B4-BE49-F238E27FC236}">
              <a16:creationId xmlns:a16="http://schemas.microsoft.com/office/drawing/2014/main" id="{00000000-0008-0000-0700-0000D6755500}"/>
            </a:ext>
          </a:extLst>
        </xdr:cNvPr>
        <xdr:cNvSpPr>
          <a:spLocks noChangeShapeType="1"/>
        </xdr:cNvSpPr>
      </xdr:nvSpPr>
      <xdr:spPr bwMode="auto">
        <a:xfrm flipV="1">
          <a:off x="14922500" y="190500"/>
          <a:ext cx="2755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1155700</xdr:colOff>
      <xdr:row>1</xdr:row>
      <xdr:rowOff>12700</xdr:rowOff>
    </xdr:from>
    <xdr:to>
      <xdr:col>18</xdr:col>
      <xdr:colOff>1155700</xdr:colOff>
      <xdr:row>28</xdr:row>
      <xdr:rowOff>139700</xdr:rowOff>
    </xdr:to>
    <xdr:sp macro="" textlink="">
      <xdr:nvSpPr>
        <xdr:cNvPr id="5600727" name="Line 270">
          <a:extLst>
            <a:ext uri="{FF2B5EF4-FFF2-40B4-BE49-F238E27FC236}">
              <a16:creationId xmlns:a16="http://schemas.microsoft.com/office/drawing/2014/main" id="{00000000-0008-0000-0700-0000D7755500}"/>
            </a:ext>
          </a:extLst>
        </xdr:cNvPr>
        <xdr:cNvSpPr>
          <a:spLocks noChangeShapeType="1"/>
        </xdr:cNvSpPr>
      </xdr:nvSpPr>
      <xdr:spPr bwMode="auto">
        <a:xfrm>
          <a:off x="17221200" y="190500"/>
          <a:ext cx="0" cy="47117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127000</xdr:colOff>
      <xdr:row>10</xdr:row>
      <xdr:rowOff>152400</xdr:rowOff>
    </xdr:from>
    <xdr:to>
      <xdr:col>18</xdr:col>
      <xdr:colOff>457200</xdr:colOff>
      <xdr:row>10</xdr:row>
      <xdr:rowOff>152400</xdr:rowOff>
    </xdr:to>
    <xdr:sp macro="" textlink="">
      <xdr:nvSpPr>
        <xdr:cNvPr id="5600728" name="Line 271">
          <a:extLst>
            <a:ext uri="{FF2B5EF4-FFF2-40B4-BE49-F238E27FC236}">
              <a16:creationId xmlns:a16="http://schemas.microsoft.com/office/drawing/2014/main" id="{00000000-0008-0000-0700-0000D8755500}"/>
            </a:ext>
          </a:extLst>
        </xdr:cNvPr>
        <xdr:cNvSpPr>
          <a:spLocks noChangeShapeType="1"/>
        </xdr:cNvSpPr>
      </xdr:nvSpPr>
      <xdr:spPr bwMode="auto">
        <a:xfrm>
          <a:off x="14947900" y="1905000"/>
          <a:ext cx="15748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165100</xdr:colOff>
      <xdr:row>0</xdr:row>
      <xdr:rowOff>165100</xdr:rowOff>
    </xdr:from>
    <xdr:to>
      <xdr:col>17</xdr:col>
      <xdr:colOff>165100</xdr:colOff>
      <xdr:row>10</xdr:row>
      <xdr:rowOff>139700</xdr:rowOff>
    </xdr:to>
    <xdr:sp macro="" textlink="">
      <xdr:nvSpPr>
        <xdr:cNvPr id="5600729" name="Line 272">
          <a:extLst>
            <a:ext uri="{FF2B5EF4-FFF2-40B4-BE49-F238E27FC236}">
              <a16:creationId xmlns:a16="http://schemas.microsoft.com/office/drawing/2014/main" id="{00000000-0008-0000-0700-0000D9755500}"/>
            </a:ext>
          </a:extLst>
        </xdr:cNvPr>
        <xdr:cNvSpPr>
          <a:spLocks noChangeShapeType="1"/>
        </xdr:cNvSpPr>
      </xdr:nvSpPr>
      <xdr:spPr bwMode="auto">
        <a:xfrm flipH="1">
          <a:off x="14986000" y="165100"/>
          <a:ext cx="0" cy="17272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254000</xdr:colOff>
      <xdr:row>31</xdr:row>
      <xdr:rowOff>101600</xdr:rowOff>
    </xdr:from>
    <xdr:to>
      <xdr:col>17</xdr:col>
      <xdr:colOff>88900</xdr:colOff>
      <xdr:row>31</xdr:row>
      <xdr:rowOff>101600</xdr:rowOff>
    </xdr:to>
    <xdr:sp macro="" textlink="">
      <xdr:nvSpPr>
        <xdr:cNvPr id="5600730" name="Line 277">
          <a:extLst>
            <a:ext uri="{FF2B5EF4-FFF2-40B4-BE49-F238E27FC236}">
              <a16:creationId xmlns:a16="http://schemas.microsoft.com/office/drawing/2014/main" id="{00000000-0008-0000-0700-0000DA755500}"/>
            </a:ext>
          </a:extLst>
        </xdr:cNvPr>
        <xdr:cNvSpPr>
          <a:spLocks noChangeShapeType="1"/>
        </xdr:cNvSpPr>
      </xdr:nvSpPr>
      <xdr:spPr bwMode="auto">
        <a:xfrm>
          <a:off x="14185900" y="5397500"/>
          <a:ext cx="723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215900</xdr:colOff>
      <xdr:row>29</xdr:row>
      <xdr:rowOff>88900</xdr:rowOff>
    </xdr:from>
    <xdr:to>
      <xdr:col>18</xdr:col>
      <xdr:colOff>1130300</xdr:colOff>
      <xdr:row>29</xdr:row>
      <xdr:rowOff>88900</xdr:rowOff>
    </xdr:to>
    <xdr:sp macro="" textlink="">
      <xdr:nvSpPr>
        <xdr:cNvPr id="5600731" name="Line 280">
          <a:extLst>
            <a:ext uri="{FF2B5EF4-FFF2-40B4-BE49-F238E27FC236}">
              <a16:creationId xmlns:a16="http://schemas.microsoft.com/office/drawing/2014/main" id="{00000000-0008-0000-0700-0000DB755500}"/>
            </a:ext>
          </a:extLst>
        </xdr:cNvPr>
        <xdr:cNvSpPr>
          <a:spLocks noChangeShapeType="1"/>
        </xdr:cNvSpPr>
      </xdr:nvSpPr>
      <xdr:spPr bwMode="auto">
        <a:xfrm>
          <a:off x="16281400" y="5029200"/>
          <a:ext cx="9144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558800</xdr:colOff>
      <xdr:row>20</xdr:row>
      <xdr:rowOff>0</xdr:rowOff>
    </xdr:from>
    <xdr:to>
      <xdr:col>17</xdr:col>
      <xdr:colOff>558800</xdr:colOff>
      <xdr:row>28</xdr:row>
      <xdr:rowOff>127000</xdr:rowOff>
    </xdr:to>
    <xdr:sp macro="" textlink="">
      <xdr:nvSpPr>
        <xdr:cNvPr id="5600732" name="Line 281">
          <a:extLst>
            <a:ext uri="{FF2B5EF4-FFF2-40B4-BE49-F238E27FC236}">
              <a16:creationId xmlns:a16="http://schemas.microsoft.com/office/drawing/2014/main" id="{00000000-0008-0000-0700-0000DC755500}"/>
            </a:ext>
          </a:extLst>
        </xdr:cNvPr>
        <xdr:cNvSpPr>
          <a:spLocks noChangeShapeType="1"/>
        </xdr:cNvSpPr>
      </xdr:nvSpPr>
      <xdr:spPr bwMode="auto">
        <a:xfrm flipH="1">
          <a:off x="15379700" y="3429000"/>
          <a:ext cx="0" cy="14605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342900</xdr:colOff>
      <xdr:row>27</xdr:row>
      <xdr:rowOff>139700</xdr:rowOff>
    </xdr:from>
    <xdr:to>
      <xdr:col>16</xdr:col>
      <xdr:colOff>355600</xdr:colOff>
      <xdr:row>31</xdr:row>
      <xdr:rowOff>101600</xdr:rowOff>
    </xdr:to>
    <xdr:sp macro="" textlink="">
      <xdr:nvSpPr>
        <xdr:cNvPr id="5600733" name="Line 282">
          <a:extLst>
            <a:ext uri="{FF2B5EF4-FFF2-40B4-BE49-F238E27FC236}">
              <a16:creationId xmlns:a16="http://schemas.microsoft.com/office/drawing/2014/main" id="{00000000-0008-0000-0700-0000DD755500}"/>
            </a:ext>
          </a:extLst>
        </xdr:cNvPr>
        <xdr:cNvSpPr>
          <a:spLocks noChangeShapeType="1"/>
        </xdr:cNvSpPr>
      </xdr:nvSpPr>
      <xdr:spPr bwMode="auto">
        <a:xfrm flipH="1">
          <a:off x="14274800" y="4724400"/>
          <a:ext cx="12700" cy="6731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800100</xdr:colOff>
      <xdr:row>20</xdr:row>
      <xdr:rowOff>0</xdr:rowOff>
    </xdr:from>
    <xdr:to>
      <xdr:col>16</xdr:col>
      <xdr:colOff>800100</xdr:colOff>
      <xdr:row>27</xdr:row>
      <xdr:rowOff>139700</xdr:rowOff>
    </xdr:to>
    <xdr:sp macro="" textlink="">
      <xdr:nvSpPr>
        <xdr:cNvPr id="5600734" name="Line 283">
          <a:extLst>
            <a:ext uri="{FF2B5EF4-FFF2-40B4-BE49-F238E27FC236}">
              <a16:creationId xmlns:a16="http://schemas.microsoft.com/office/drawing/2014/main" id="{00000000-0008-0000-0700-0000DE755500}"/>
            </a:ext>
          </a:extLst>
        </xdr:cNvPr>
        <xdr:cNvSpPr>
          <a:spLocks noChangeShapeType="1"/>
        </xdr:cNvSpPr>
      </xdr:nvSpPr>
      <xdr:spPr bwMode="auto">
        <a:xfrm>
          <a:off x="14732000" y="3429000"/>
          <a:ext cx="0" cy="12954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76200</xdr:colOff>
      <xdr:row>31</xdr:row>
      <xdr:rowOff>101600</xdr:rowOff>
    </xdr:from>
    <xdr:to>
      <xdr:col>17</xdr:col>
      <xdr:colOff>76200</xdr:colOff>
      <xdr:row>32</xdr:row>
      <xdr:rowOff>0</xdr:rowOff>
    </xdr:to>
    <xdr:sp macro="" textlink="">
      <xdr:nvSpPr>
        <xdr:cNvPr id="5600735" name="Line 284">
          <a:extLst>
            <a:ext uri="{FF2B5EF4-FFF2-40B4-BE49-F238E27FC236}">
              <a16:creationId xmlns:a16="http://schemas.microsoft.com/office/drawing/2014/main" id="{00000000-0008-0000-0700-0000DF755500}"/>
            </a:ext>
          </a:extLst>
        </xdr:cNvPr>
        <xdr:cNvSpPr>
          <a:spLocks noChangeShapeType="1"/>
        </xdr:cNvSpPr>
      </xdr:nvSpPr>
      <xdr:spPr bwMode="auto">
        <a:xfrm flipV="1">
          <a:off x="14897100" y="5397500"/>
          <a:ext cx="0" cy="762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1041400</xdr:colOff>
      <xdr:row>29</xdr:row>
      <xdr:rowOff>88900</xdr:rowOff>
    </xdr:from>
    <xdr:to>
      <xdr:col>17</xdr:col>
      <xdr:colOff>1041400</xdr:colOff>
      <xdr:row>31</xdr:row>
      <xdr:rowOff>165100</xdr:rowOff>
    </xdr:to>
    <xdr:sp macro="" textlink="">
      <xdr:nvSpPr>
        <xdr:cNvPr id="5600736" name="Line 285">
          <a:extLst>
            <a:ext uri="{FF2B5EF4-FFF2-40B4-BE49-F238E27FC236}">
              <a16:creationId xmlns:a16="http://schemas.microsoft.com/office/drawing/2014/main" id="{00000000-0008-0000-0700-0000E0755500}"/>
            </a:ext>
          </a:extLst>
        </xdr:cNvPr>
        <xdr:cNvSpPr>
          <a:spLocks noChangeShapeType="1"/>
        </xdr:cNvSpPr>
      </xdr:nvSpPr>
      <xdr:spPr bwMode="auto">
        <a:xfrm flipH="1" flipV="1">
          <a:off x="15862300" y="5029200"/>
          <a:ext cx="0" cy="43180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101600</xdr:colOff>
      <xdr:row>31</xdr:row>
      <xdr:rowOff>127000</xdr:rowOff>
    </xdr:from>
    <xdr:to>
      <xdr:col>17</xdr:col>
      <xdr:colOff>1054100</xdr:colOff>
      <xdr:row>31</xdr:row>
      <xdr:rowOff>127000</xdr:rowOff>
    </xdr:to>
    <xdr:sp macro="" textlink="">
      <xdr:nvSpPr>
        <xdr:cNvPr id="5600737" name="Line 286">
          <a:extLst>
            <a:ext uri="{FF2B5EF4-FFF2-40B4-BE49-F238E27FC236}">
              <a16:creationId xmlns:a16="http://schemas.microsoft.com/office/drawing/2014/main" id="{00000000-0008-0000-0700-0000E1755500}"/>
            </a:ext>
          </a:extLst>
        </xdr:cNvPr>
        <xdr:cNvSpPr>
          <a:spLocks noChangeShapeType="1"/>
        </xdr:cNvSpPr>
      </xdr:nvSpPr>
      <xdr:spPr bwMode="auto">
        <a:xfrm flipV="1">
          <a:off x="14922500" y="5422900"/>
          <a:ext cx="952500" cy="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736600</xdr:colOff>
      <xdr:row>16</xdr:row>
      <xdr:rowOff>63500</xdr:rowOff>
    </xdr:from>
    <xdr:to>
      <xdr:col>18</xdr:col>
      <xdr:colOff>558800</xdr:colOff>
      <xdr:row>16</xdr:row>
      <xdr:rowOff>63500</xdr:rowOff>
    </xdr:to>
    <xdr:sp macro="" textlink="">
      <xdr:nvSpPr>
        <xdr:cNvPr id="5600738" name="Line 287">
          <a:extLst>
            <a:ext uri="{FF2B5EF4-FFF2-40B4-BE49-F238E27FC236}">
              <a16:creationId xmlns:a16="http://schemas.microsoft.com/office/drawing/2014/main" id="{00000000-0008-0000-0700-0000E2755500}"/>
            </a:ext>
          </a:extLst>
        </xdr:cNvPr>
        <xdr:cNvSpPr>
          <a:spLocks noChangeShapeType="1"/>
        </xdr:cNvSpPr>
      </xdr:nvSpPr>
      <xdr:spPr bwMode="auto">
        <a:xfrm flipV="1">
          <a:off x="15557500" y="2832100"/>
          <a:ext cx="1066800" cy="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914400</xdr:colOff>
      <xdr:row>14</xdr:row>
      <xdr:rowOff>127000</xdr:rowOff>
    </xdr:from>
    <xdr:to>
      <xdr:col>19</xdr:col>
      <xdr:colOff>25400</xdr:colOff>
      <xdr:row>14</xdr:row>
      <xdr:rowOff>127000</xdr:rowOff>
    </xdr:to>
    <xdr:sp macro="" textlink="">
      <xdr:nvSpPr>
        <xdr:cNvPr id="5600739" name="Line 289">
          <a:extLst>
            <a:ext uri="{FF2B5EF4-FFF2-40B4-BE49-F238E27FC236}">
              <a16:creationId xmlns:a16="http://schemas.microsoft.com/office/drawing/2014/main" id="{00000000-0008-0000-0700-0000E3755500}"/>
            </a:ext>
          </a:extLst>
        </xdr:cNvPr>
        <xdr:cNvSpPr>
          <a:spLocks noChangeShapeType="1"/>
        </xdr:cNvSpPr>
      </xdr:nvSpPr>
      <xdr:spPr bwMode="auto">
        <a:xfrm>
          <a:off x="15735300" y="2565400"/>
          <a:ext cx="16002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749300</xdr:colOff>
      <xdr:row>15</xdr:row>
      <xdr:rowOff>127000</xdr:rowOff>
    </xdr:from>
    <xdr:to>
      <xdr:col>19</xdr:col>
      <xdr:colOff>50800</xdr:colOff>
      <xdr:row>15</xdr:row>
      <xdr:rowOff>127000</xdr:rowOff>
    </xdr:to>
    <xdr:sp macro="" textlink="">
      <xdr:nvSpPr>
        <xdr:cNvPr id="5600740" name="Line 290">
          <a:extLst>
            <a:ext uri="{FF2B5EF4-FFF2-40B4-BE49-F238E27FC236}">
              <a16:creationId xmlns:a16="http://schemas.microsoft.com/office/drawing/2014/main" id="{00000000-0008-0000-0700-0000E4755500}"/>
            </a:ext>
          </a:extLst>
        </xdr:cNvPr>
        <xdr:cNvSpPr>
          <a:spLocks noChangeShapeType="1"/>
        </xdr:cNvSpPr>
      </xdr:nvSpPr>
      <xdr:spPr bwMode="auto">
        <a:xfrm>
          <a:off x="15570200" y="2730500"/>
          <a:ext cx="17907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736600</xdr:colOff>
      <xdr:row>18</xdr:row>
      <xdr:rowOff>63500</xdr:rowOff>
    </xdr:from>
    <xdr:to>
      <xdr:col>19</xdr:col>
      <xdr:colOff>50800</xdr:colOff>
      <xdr:row>18</xdr:row>
      <xdr:rowOff>63500</xdr:rowOff>
    </xdr:to>
    <xdr:sp macro="" textlink="">
      <xdr:nvSpPr>
        <xdr:cNvPr id="5600741" name="Line 291">
          <a:extLst>
            <a:ext uri="{FF2B5EF4-FFF2-40B4-BE49-F238E27FC236}">
              <a16:creationId xmlns:a16="http://schemas.microsoft.com/office/drawing/2014/main" id="{00000000-0008-0000-0700-0000E5755500}"/>
            </a:ext>
          </a:extLst>
        </xdr:cNvPr>
        <xdr:cNvSpPr>
          <a:spLocks noChangeShapeType="1"/>
        </xdr:cNvSpPr>
      </xdr:nvSpPr>
      <xdr:spPr bwMode="auto">
        <a:xfrm>
          <a:off x="15557500" y="3162300"/>
          <a:ext cx="18034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1041400</xdr:colOff>
      <xdr:row>19</xdr:row>
      <xdr:rowOff>139700</xdr:rowOff>
    </xdr:from>
    <xdr:to>
      <xdr:col>19</xdr:col>
      <xdr:colOff>12700</xdr:colOff>
      <xdr:row>19</xdr:row>
      <xdr:rowOff>139700</xdr:rowOff>
    </xdr:to>
    <xdr:sp macro="" textlink="">
      <xdr:nvSpPr>
        <xdr:cNvPr id="5600742" name="Line 292">
          <a:extLst>
            <a:ext uri="{FF2B5EF4-FFF2-40B4-BE49-F238E27FC236}">
              <a16:creationId xmlns:a16="http://schemas.microsoft.com/office/drawing/2014/main" id="{00000000-0008-0000-0700-0000E6755500}"/>
            </a:ext>
          </a:extLst>
        </xdr:cNvPr>
        <xdr:cNvSpPr>
          <a:spLocks noChangeShapeType="1"/>
        </xdr:cNvSpPr>
      </xdr:nvSpPr>
      <xdr:spPr bwMode="auto">
        <a:xfrm>
          <a:off x="15862300" y="3403600"/>
          <a:ext cx="1460500" cy="0"/>
        </a:xfrm>
        <a:prstGeom prst="line">
          <a:avLst/>
        </a:prstGeom>
        <a:noFill/>
        <a:ln w="6350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1244600</xdr:colOff>
      <xdr:row>1</xdr:row>
      <xdr:rowOff>0</xdr:rowOff>
    </xdr:from>
    <xdr:to>
      <xdr:col>18</xdr:col>
      <xdr:colOff>0</xdr:colOff>
      <xdr:row>14</xdr:row>
      <xdr:rowOff>127000</xdr:rowOff>
    </xdr:to>
    <xdr:sp macro="" textlink="">
      <xdr:nvSpPr>
        <xdr:cNvPr id="5600743" name="Line 293">
          <a:extLst>
            <a:ext uri="{FF2B5EF4-FFF2-40B4-BE49-F238E27FC236}">
              <a16:creationId xmlns:a16="http://schemas.microsoft.com/office/drawing/2014/main" id="{00000000-0008-0000-0700-0000E7755500}"/>
            </a:ext>
          </a:extLst>
        </xdr:cNvPr>
        <xdr:cNvSpPr>
          <a:spLocks noChangeShapeType="1"/>
        </xdr:cNvSpPr>
      </xdr:nvSpPr>
      <xdr:spPr bwMode="auto">
        <a:xfrm flipH="1">
          <a:off x="16065500" y="177800"/>
          <a:ext cx="0" cy="23876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203200</xdr:colOff>
      <xdr:row>1</xdr:row>
      <xdr:rowOff>0</xdr:rowOff>
    </xdr:from>
    <xdr:to>
      <xdr:col>18</xdr:col>
      <xdr:colOff>203200</xdr:colOff>
      <xdr:row>18</xdr:row>
      <xdr:rowOff>63500</xdr:rowOff>
    </xdr:to>
    <xdr:sp macro="" textlink="">
      <xdr:nvSpPr>
        <xdr:cNvPr id="5600744" name="Line 294">
          <a:extLst>
            <a:ext uri="{FF2B5EF4-FFF2-40B4-BE49-F238E27FC236}">
              <a16:creationId xmlns:a16="http://schemas.microsoft.com/office/drawing/2014/main" id="{00000000-0008-0000-0700-0000E8755500}"/>
            </a:ext>
          </a:extLst>
        </xdr:cNvPr>
        <xdr:cNvSpPr>
          <a:spLocks noChangeShapeType="1"/>
        </xdr:cNvSpPr>
      </xdr:nvSpPr>
      <xdr:spPr bwMode="auto">
        <a:xfrm>
          <a:off x="16268700" y="177800"/>
          <a:ext cx="0" cy="29845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14</xdr:row>
      <xdr:rowOff>127000</xdr:rowOff>
    </xdr:from>
    <xdr:to>
      <xdr:col>19</xdr:col>
      <xdr:colOff>25400</xdr:colOff>
      <xdr:row>15</xdr:row>
      <xdr:rowOff>127000</xdr:rowOff>
    </xdr:to>
    <xdr:sp macro="" textlink="">
      <xdr:nvSpPr>
        <xdr:cNvPr id="5600745" name="Line 295">
          <a:extLst>
            <a:ext uri="{FF2B5EF4-FFF2-40B4-BE49-F238E27FC236}">
              <a16:creationId xmlns:a16="http://schemas.microsoft.com/office/drawing/2014/main" id="{00000000-0008-0000-0700-0000E9755500}"/>
            </a:ext>
          </a:extLst>
        </xdr:cNvPr>
        <xdr:cNvSpPr>
          <a:spLocks noChangeShapeType="1"/>
        </xdr:cNvSpPr>
      </xdr:nvSpPr>
      <xdr:spPr bwMode="auto">
        <a:xfrm>
          <a:off x="17335500" y="2565400"/>
          <a:ext cx="0" cy="165100"/>
        </a:xfrm>
        <a:prstGeom prst="line">
          <a:avLst/>
        </a:prstGeom>
        <a:noFill/>
        <a:ln w="317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12700</xdr:colOff>
      <xdr:row>18</xdr:row>
      <xdr:rowOff>63500</xdr:rowOff>
    </xdr:from>
    <xdr:to>
      <xdr:col>19</xdr:col>
      <xdr:colOff>12700</xdr:colOff>
      <xdr:row>19</xdr:row>
      <xdr:rowOff>139700</xdr:rowOff>
    </xdr:to>
    <xdr:sp macro="" textlink="">
      <xdr:nvSpPr>
        <xdr:cNvPr id="5600746" name="Line 296">
          <a:extLst>
            <a:ext uri="{FF2B5EF4-FFF2-40B4-BE49-F238E27FC236}">
              <a16:creationId xmlns:a16="http://schemas.microsoft.com/office/drawing/2014/main" id="{00000000-0008-0000-0700-0000EA755500}"/>
            </a:ext>
          </a:extLst>
        </xdr:cNvPr>
        <xdr:cNvSpPr>
          <a:spLocks noChangeShapeType="1"/>
        </xdr:cNvSpPr>
      </xdr:nvSpPr>
      <xdr:spPr bwMode="auto">
        <a:xfrm>
          <a:off x="17322800" y="3162300"/>
          <a:ext cx="0" cy="24130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triangle" w="sm" len="sm"/>
          <a:tailEnd type="triangl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11</xdr:row>
      <xdr:rowOff>101600</xdr:rowOff>
    </xdr:from>
    <xdr:to>
      <xdr:col>17</xdr:col>
      <xdr:colOff>914400</xdr:colOff>
      <xdr:row>11</xdr:row>
      <xdr:rowOff>101600</xdr:rowOff>
    </xdr:to>
    <xdr:sp macro="" textlink="">
      <xdr:nvSpPr>
        <xdr:cNvPr id="5600747" name="Line 297">
          <a:extLst>
            <a:ext uri="{FF2B5EF4-FFF2-40B4-BE49-F238E27FC236}">
              <a16:creationId xmlns:a16="http://schemas.microsoft.com/office/drawing/2014/main" id="{00000000-0008-0000-0700-0000EB755500}"/>
            </a:ext>
          </a:extLst>
        </xdr:cNvPr>
        <xdr:cNvSpPr>
          <a:spLocks noChangeShapeType="1"/>
        </xdr:cNvSpPr>
      </xdr:nvSpPr>
      <xdr:spPr bwMode="auto">
        <a:xfrm>
          <a:off x="14820900" y="203200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16</xdr:row>
      <xdr:rowOff>63500</xdr:rowOff>
    </xdr:from>
    <xdr:to>
      <xdr:col>17</xdr:col>
      <xdr:colOff>749300</xdr:colOff>
      <xdr:row>16</xdr:row>
      <xdr:rowOff>63500</xdr:rowOff>
    </xdr:to>
    <xdr:sp macro="" textlink="">
      <xdr:nvSpPr>
        <xdr:cNvPr id="5600748" name="Line 298">
          <a:extLst>
            <a:ext uri="{FF2B5EF4-FFF2-40B4-BE49-F238E27FC236}">
              <a16:creationId xmlns:a16="http://schemas.microsoft.com/office/drawing/2014/main" id="{00000000-0008-0000-0700-0000EC755500}"/>
            </a:ext>
          </a:extLst>
        </xdr:cNvPr>
        <xdr:cNvSpPr>
          <a:spLocks noChangeShapeType="1"/>
        </xdr:cNvSpPr>
      </xdr:nvSpPr>
      <xdr:spPr bwMode="auto">
        <a:xfrm>
          <a:off x="14820900" y="2832100"/>
          <a:ext cx="749300" cy="0"/>
        </a:xfrm>
        <a:prstGeom prst="line">
          <a:avLst/>
        </a:prstGeom>
        <a:noFill/>
        <a:ln w="9525">
          <a:solidFill>
            <a:srgbClr val="92D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558800</xdr:colOff>
      <xdr:row>31</xdr:row>
      <xdr:rowOff>127000</xdr:rowOff>
    </xdr:from>
    <xdr:to>
      <xdr:col>17</xdr:col>
      <xdr:colOff>558800</xdr:colOff>
      <xdr:row>33</xdr:row>
      <xdr:rowOff>101600</xdr:rowOff>
    </xdr:to>
    <xdr:sp macro="" textlink="">
      <xdr:nvSpPr>
        <xdr:cNvPr id="5600749" name="Line 301">
          <a:extLst>
            <a:ext uri="{FF2B5EF4-FFF2-40B4-BE49-F238E27FC236}">
              <a16:creationId xmlns:a16="http://schemas.microsoft.com/office/drawing/2014/main" id="{00000000-0008-0000-0700-0000ED755500}"/>
            </a:ext>
          </a:extLst>
        </xdr:cNvPr>
        <xdr:cNvSpPr>
          <a:spLocks noChangeShapeType="1"/>
        </xdr:cNvSpPr>
      </xdr:nvSpPr>
      <xdr:spPr bwMode="auto">
        <a:xfrm flipH="1">
          <a:off x="15379700" y="5422900"/>
          <a:ext cx="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</xdr:row>
      <xdr:rowOff>76200</xdr:rowOff>
    </xdr:from>
    <xdr:to>
      <xdr:col>17</xdr:col>
      <xdr:colOff>165100</xdr:colOff>
      <xdr:row>2</xdr:row>
      <xdr:rowOff>76200</xdr:rowOff>
    </xdr:to>
    <xdr:sp macro="" textlink="">
      <xdr:nvSpPr>
        <xdr:cNvPr id="5600750" name="Line 302">
          <a:extLst>
            <a:ext uri="{FF2B5EF4-FFF2-40B4-BE49-F238E27FC236}">
              <a16:creationId xmlns:a16="http://schemas.microsoft.com/office/drawing/2014/main" id="{00000000-0008-0000-0700-0000EE755500}"/>
            </a:ext>
          </a:extLst>
        </xdr:cNvPr>
        <xdr:cNvSpPr>
          <a:spLocks noChangeShapeType="1"/>
        </xdr:cNvSpPr>
      </xdr:nvSpPr>
      <xdr:spPr bwMode="auto">
        <a:xfrm>
          <a:off x="14820900" y="431800"/>
          <a:ext cx="165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1943100</xdr:colOff>
      <xdr:row>10</xdr:row>
      <xdr:rowOff>88900</xdr:rowOff>
    </xdr:from>
    <xdr:to>
      <xdr:col>20</xdr:col>
      <xdr:colOff>0</xdr:colOff>
      <xdr:row>10</xdr:row>
      <xdr:rowOff>88900</xdr:rowOff>
    </xdr:to>
    <xdr:sp macro="" textlink="">
      <xdr:nvSpPr>
        <xdr:cNvPr id="5600751" name="Line 303">
          <a:extLst>
            <a:ext uri="{FF2B5EF4-FFF2-40B4-BE49-F238E27FC236}">
              <a16:creationId xmlns:a16="http://schemas.microsoft.com/office/drawing/2014/main" id="{00000000-0008-0000-0700-0000EF755500}"/>
            </a:ext>
          </a:extLst>
        </xdr:cNvPr>
        <xdr:cNvSpPr>
          <a:spLocks noChangeShapeType="1"/>
        </xdr:cNvSpPr>
      </xdr:nvSpPr>
      <xdr:spPr bwMode="auto">
        <a:xfrm flipV="1">
          <a:off x="16065500" y="1841500"/>
          <a:ext cx="21336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203200</xdr:colOff>
      <xdr:row>12</xdr:row>
      <xdr:rowOff>76200</xdr:rowOff>
    </xdr:from>
    <xdr:to>
      <xdr:col>20</xdr:col>
      <xdr:colOff>0</xdr:colOff>
      <xdr:row>12</xdr:row>
      <xdr:rowOff>76200</xdr:rowOff>
    </xdr:to>
    <xdr:sp macro="" textlink="">
      <xdr:nvSpPr>
        <xdr:cNvPr id="5600752" name="Line 304">
          <a:extLst>
            <a:ext uri="{FF2B5EF4-FFF2-40B4-BE49-F238E27FC236}">
              <a16:creationId xmlns:a16="http://schemas.microsoft.com/office/drawing/2014/main" id="{00000000-0008-0000-0700-0000F0755500}"/>
            </a:ext>
          </a:extLst>
        </xdr:cNvPr>
        <xdr:cNvSpPr>
          <a:spLocks noChangeShapeType="1"/>
        </xdr:cNvSpPr>
      </xdr:nvSpPr>
      <xdr:spPr bwMode="auto">
        <a:xfrm flipV="1">
          <a:off x="16268700" y="2184400"/>
          <a:ext cx="19304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15</xdr:row>
      <xdr:rowOff>50800</xdr:rowOff>
    </xdr:from>
    <xdr:to>
      <xdr:col>19</xdr:col>
      <xdr:colOff>863600</xdr:colOff>
      <xdr:row>15</xdr:row>
      <xdr:rowOff>50800</xdr:rowOff>
    </xdr:to>
    <xdr:sp macro="" textlink="">
      <xdr:nvSpPr>
        <xdr:cNvPr id="5600753" name="Line 305">
          <a:extLst>
            <a:ext uri="{FF2B5EF4-FFF2-40B4-BE49-F238E27FC236}">
              <a16:creationId xmlns:a16="http://schemas.microsoft.com/office/drawing/2014/main" id="{00000000-0008-0000-0700-0000F1755500}"/>
            </a:ext>
          </a:extLst>
        </xdr:cNvPr>
        <xdr:cNvSpPr>
          <a:spLocks noChangeShapeType="1"/>
        </xdr:cNvSpPr>
      </xdr:nvSpPr>
      <xdr:spPr bwMode="auto">
        <a:xfrm flipV="1">
          <a:off x="17335500" y="2654300"/>
          <a:ext cx="8382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25400</xdr:colOff>
      <xdr:row>19</xdr:row>
      <xdr:rowOff>25400</xdr:rowOff>
    </xdr:from>
    <xdr:to>
      <xdr:col>19</xdr:col>
      <xdr:colOff>889000</xdr:colOff>
      <xdr:row>19</xdr:row>
      <xdr:rowOff>25400</xdr:rowOff>
    </xdr:to>
    <xdr:sp macro="" textlink="">
      <xdr:nvSpPr>
        <xdr:cNvPr id="5600754" name="Line 308">
          <a:extLst>
            <a:ext uri="{FF2B5EF4-FFF2-40B4-BE49-F238E27FC236}">
              <a16:creationId xmlns:a16="http://schemas.microsoft.com/office/drawing/2014/main" id="{00000000-0008-0000-0700-0000F2755500}"/>
            </a:ext>
          </a:extLst>
        </xdr:cNvPr>
        <xdr:cNvSpPr>
          <a:spLocks noChangeShapeType="1"/>
        </xdr:cNvSpPr>
      </xdr:nvSpPr>
      <xdr:spPr bwMode="auto">
        <a:xfrm flipH="1" flipV="1">
          <a:off x="17335500" y="3289300"/>
          <a:ext cx="863600" cy="0"/>
        </a:xfrm>
        <a:prstGeom prst="line">
          <a:avLst/>
        </a:prstGeom>
        <a:noFill/>
        <a:ln w="9525">
          <a:solidFill>
            <a:srgbClr val="92D050"/>
          </a:solidFill>
          <a:prstDash val="sysDot"/>
          <a:round/>
          <a:headEnd type="none" w="sm" len="sm"/>
          <a:tailEnd type="none" w="sm" len="sm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889000</xdr:colOff>
      <xdr:row>28</xdr:row>
      <xdr:rowOff>88900</xdr:rowOff>
    </xdr:from>
    <xdr:to>
      <xdr:col>16</xdr:col>
      <xdr:colOff>355600</xdr:colOff>
      <xdr:row>28</xdr:row>
      <xdr:rowOff>88900</xdr:rowOff>
    </xdr:to>
    <xdr:sp macro="" textlink="">
      <xdr:nvSpPr>
        <xdr:cNvPr id="5600755" name="Line 310">
          <a:extLst>
            <a:ext uri="{FF2B5EF4-FFF2-40B4-BE49-F238E27FC236}">
              <a16:creationId xmlns:a16="http://schemas.microsoft.com/office/drawing/2014/main" id="{00000000-0008-0000-0700-0000F3755500}"/>
            </a:ext>
          </a:extLst>
        </xdr:cNvPr>
        <xdr:cNvSpPr>
          <a:spLocks noChangeShapeType="1"/>
        </xdr:cNvSpPr>
      </xdr:nvSpPr>
      <xdr:spPr bwMode="auto">
        <a:xfrm>
          <a:off x="13931900" y="4851400"/>
          <a:ext cx="355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254000</xdr:colOff>
      <xdr:row>27</xdr:row>
      <xdr:rowOff>127000</xdr:rowOff>
    </xdr:from>
    <xdr:to>
      <xdr:col>17</xdr:col>
      <xdr:colOff>76200</xdr:colOff>
      <xdr:row>27</xdr:row>
      <xdr:rowOff>127000</xdr:rowOff>
    </xdr:to>
    <xdr:sp macro="" textlink="">
      <xdr:nvSpPr>
        <xdr:cNvPr id="5600756" name="Line 277">
          <a:extLst>
            <a:ext uri="{FF2B5EF4-FFF2-40B4-BE49-F238E27FC236}">
              <a16:creationId xmlns:a16="http://schemas.microsoft.com/office/drawing/2014/main" id="{00000000-0008-0000-0700-0000F4755500}"/>
            </a:ext>
          </a:extLst>
        </xdr:cNvPr>
        <xdr:cNvSpPr>
          <a:spLocks noChangeShapeType="1"/>
        </xdr:cNvSpPr>
      </xdr:nvSpPr>
      <xdr:spPr bwMode="auto">
        <a:xfrm>
          <a:off x="14185900" y="4711700"/>
          <a:ext cx="711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457200</xdr:colOff>
      <xdr:row>28</xdr:row>
      <xdr:rowOff>127000</xdr:rowOff>
    </xdr:from>
    <xdr:to>
      <xdr:col>19</xdr:col>
      <xdr:colOff>88900</xdr:colOff>
      <xdr:row>28</xdr:row>
      <xdr:rowOff>127000</xdr:rowOff>
    </xdr:to>
    <xdr:sp macro="" textlink="">
      <xdr:nvSpPr>
        <xdr:cNvPr id="5600757" name="Line 280">
          <a:extLst>
            <a:ext uri="{FF2B5EF4-FFF2-40B4-BE49-F238E27FC236}">
              <a16:creationId xmlns:a16="http://schemas.microsoft.com/office/drawing/2014/main" id="{00000000-0008-0000-0700-0000F5755500}"/>
            </a:ext>
          </a:extLst>
        </xdr:cNvPr>
        <xdr:cNvSpPr>
          <a:spLocks noChangeShapeType="1"/>
        </xdr:cNvSpPr>
      </xdr:nvSpPr>
      <xdr:spPr bwMode="auto">
        <a:xfrm flipV="1">
          <a:off x="15278100" y="4889500"/>
          <a:ext cx="21209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177800</xdr:colOff>
      <xdr:row>30</xdr:row>
      <xdr:rowOff>50800</xdr:rowOff>
    </xdr:from>
    <xdr:to>
      <xdr:col>18</xdr:col>
      <xdr:colOff>1016000</xdr:colOff>
      <xdr:row>30</xdr:row>
      <xdr:rowOff>50800</xdr:rowOff>
    </xdr:to>
    <xdr:sp macro="" textlink="">
      <xdr:nvSpPr>
        <xdr:cNvPr id="5600758" name="Line 280">
          <a:extLst>
            <a:ext uri="{FF2B5EF4-FFF2-40B4-BE49-F238E27FC236}">
              <a16:creationId xmlns:a16="http://schemas.microsoft.com/office/drawing/2014/main" id="{00000000-0008-0000-0700-0000F6755500}"/>
            </a:ext>
          </a:extLst>
        </xdr:cNvPr>
        <xdr:cNvSpPr>
          <a:spLocks noChangeShapeType="1"/>
        </xdr:cNvSpPr>
      </xdr:nvSpPr>
      <xdr:spPr bwMode="auto">
        <a:xfrm>
          <a:off x="16243300" y="5168900"/>
          <a:ext cx="838200" cy="0"/>
        </a:xfrm>
        <a:prstGeom prst="line">
          <a:avLst/>
        </a:prstGeom>
        <a:noFill/>
        <a:ln w="63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1143000</xdr:colOff>
      <xdr:row>20</xdr:row>
      <xdr:rowOff>0</xdr:rowOff>
    </xdr:from>
    <xdr:to>
      <xdr:col>18</xdr:col>
      <xdr:colOff>177800</xdr:colOff>
      <xdr:row>30</xdr:row>
      <xdr:rowOff>50800</xdr:rowOff>
    </xdr:to>
    <xdr:sp macro="" textlink="">
      <xdr:nvSpPr>
        <xdr:cNvPr id="5600759" name="Rectangle 139">
          <a:extLst>
            <a:ext uri="{FF2B5EF4-FFF2-40B4-BE49-F238E27FC236}">
              <a16:creationId xmlns:a16="http://schemas.microsoft.com/office/drawing/2014/main" id="{00000000-0008-0000-0700-0000F7755500}"/>
            </a:ext>
          </a:extLst>
        </xdr:cNvPr>
        <xdr:cNvSpPr>
          <a:spLocks noChangeArrowheads="1"/>
        </xdr:cNvSpPr>
      </xdr:nvSpPr>
      <xdr:spPr bwMode="auto">
        <a:xfrm>
          <a:off x="15963900" y="3429000"/>
          <a:ext cx="279400" cy="1739900"/>
        </a:xfrm>
        <a:prstGeom prst="rect">
          <a:avLst/>
        </a:prstGeom>
        <a:noFill/>
        <a:ln w="9525" algn="ctr">
          <a:solidFill>
            <a:srgbClr val="00B0F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1016000</xdr:colOff>
      <xdr:row>1</xdr:row>
      <xdr:rowOff>12700</xdr:rowOff>
    </xdr:from>
    <xdr:to>
      <xdr:col>18</xdr:col>
      <xdr:colOff>1016000</xdr:colOff>
      <xdr:row>29</xdr:row>
      <xdr:rowOff>76200</xdr:rowOff>
    </xdr:to>
    <xdr:sp macro="" textlink="">
      <xdr:nvSpPr>
        <xdr:cNvPr id="5600760" name="Line 270">
          <a:extLst>
            <a:ext uri="{FF2B5EF4-FFF2-40B4-BE49-F238E27FC236}">
              <a16:creationId xmlns:a16="http://schemas.microsoft.com/office/drawing/2014/main" id="{00000000-0008-0000-0700-0000F8755500}"/>
            </a:ext>
          </a:extLst>
        </xdr:cNvPr>
        <xdr:cNvSpPr>
          <a:spLocks noChangeShapeType="1"/>
        </xdr:cNvSpPr>
      </xdr:nvSpPr>
      <xdr:spPr bwMode="auto">
        <a:xfrm flipH="1">
          <a:off x="17081500" y="190500"/>
          <a:ext cx="0" cy="48260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12700</xdr:colOff>
      <xdr:row>33</xdr:row>
      <xdr:rowOff>101600</xdr:rowOff>
    </xdr:from>
    <xdr:to>
      <xdr:col>17</xdr:col>
      <xdr:colOff>571500</xdr:colOff>
      <xdr:row>33</xdr:row>
      <xdr:rowOff>101600</xdr:rowOff>
    </xdr:to>
    <xdr:sp macro="" textlink="">
      <xdr:nvSpPr>
        <xdr:cNvPr id="5600761" name="Line 301">
          <a:extLst>
            <a:ext uri="{FF2B5EF4-FFF2-40B4-BE49-F238E27FC236}">
              <a16:creationId xmlns:a16="http://schemas.microsoft.com/office/drawing/2014/main" id="{00000000-0008-0000-0700-0000F9755500}"/>
            </a:ext>
          </a:extLst>
        </xdr:cNvPr>
        <xdr:cNvSpPr>
          <a:spLocks noChangeShapeType="1"/>
        </xdr:cNvSpPr>
      </xdr:nvSpPr>
      <xdr:spPr bwMode="auto">
        <a:xfrm>
          <a:off x="14833600" y="5753100"/>
          <a:ext cx="558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863600</xdr:colOff>
      <xdr:row>1</xdr:row>
      <xdr:rowOff>25400</xdr:rowOff>
    </xdr:from>
    <xdr:to>
      <xdr:col>18</xdr:col>
      <xdr:colOff>863600</xdr:colOff>
      <xdr:row>30</xdr:row>
      <xdr:rowOff>38100</xdr:rowOff>
    </xdr:to>
    <xdr:sp macro="" textlink="">
      <xdr:nvSpPr>
        <xdr:cNvPr id="5600762" name="Line 270">
          <a:extLst>
            <a:ext uri="{FF2B5EF4-FFF2-40B4-BE49-F238E27FC236}">
              <a16:creationId xmlns:a16="http://schemas.microsoft.com/office/drawing/2014/main" id="{00000000-0008-0000-0700-0000FA755500}"/>
            </a:ext>
          </a:extLst>
        </xdr:cNvPr>
        <xdr:cNvSpPr>
          <a:spLocks noChangeShapeType="1"/>
        </xdr:cNvSpPr>
      </xdr:nvSpPr>
      <xdr:spPr bwMode="auto">
        <a:xfrm>
          <a:off x="16929100" y="203200"/>
          <a:ext cx="0" cy="4953000"/>
        </a:xfrm>
        <a:prstGeom prst="line">
          <a:avLst/>
        </a:prstGeom>
        <a:noFill/>
        <a:ln w="6350">
          <a:solidFill>
            <a:srgbClr val="000000"/>
          </a:solidFill>
          <a:round/>
          <a:headEnd type="triangle" w="sm" len="lg"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omments" Target="../comments1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oleObject" Target="../embeddings/oleObject1.bin"/><Relationship Id="rId7" Type="http://schemas.openxmlformats.org/officeDocument/2006/relationships/ctrlProp" Target="../ctrlProps/ctrlProp16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10" Type="http://schemas.openxmlformats.org/officeDocument/2006/relationships/comments" Target="../comments2.xml"/><Relationship Id="rId4" Type="http://schemas.openxmlformats.org/officeDocument/2006/relationships/image" Target="../media/image6.emf"/><Relationship Id="rId9" Type="http://schemas.openxmlformats.org/officeDocument/2006/relationships/ctrlProp" Target="../ctrlProps/ctrlProp18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.emf"/><Relationship Id="rId21" Type="http://schemas.openxmlformats.org/officeDocument/2006/relationships/oleObject" Target="../embeddings/oleObject10.bin"/><Relationship Id="rId42" Type="http://schemas.openxmlformats.org/officeDocument/2006/relationships/image" Target="../media/image25.emf"/><Relationship Id="rId47" Type="http://schemas.openxmlformats.org/officeDocument/2006/relationships/oleObject" Target="../embeddings/oleObject23.bin"/><Relationship Id="rId63" Type="http://schemas.openxmlformats.org/officeDocument/2006/relationships/oleObject" Target="../embeddings/oleObject31.bin"/><Relationship Id="rId68" Type="http://schemas.openxmlformats.org/officeDocument/2006/relationships/image" Target="../media/image38.emf"/><Relationship Id="rId2" Type="http://schemas.openxmlformats.org/officeDocument/2006/relationships/hyperlink" Target="http://www.planete-sciences.org/espace/basedoc/" TargetMode="External"/><Relationship Id="rId16" Type="http://schemas.openxmlformats.org/officeDocument/2006/relationships/image" Target="../media/image12.emf"/><Relationship Id="rId29" Type="http://schemas.openxmlformats.org/officeDocument/2006/relationships/oleObject" Target="../embeddings/oleObject14.bin"/><Relationship Id="rId11" Type="http://schemas.openxmlformats.org/officeDocument/2006/relationships/oleObject" Target="../embeddings/oleObject5.bin"/><Relationship Id="rId24" Type="http://schemas.openxmlformats.org/officeDocument/2006/relationships/image" Target="../media/image16.emf"/><Relationship Id="rId32" Type="http://schemas.openxmlformats.org/officeDocument/2006/relationships/image" Target="../media/image20.emf"/><Relationship Id="rId37" Type="http://schemas.openxmlformats.org/officeDocument/2006/relationships/oleObject" Target="../embeddings/oleObject18.bin"/><Relationship Id="rId40" Type="http://schemas.openxmlformats.org/officeDocument/2006/relationships/image" Target="../media/image24.emf"/><Relationship Id="rId45" Type="http://schemas.openxmlformats.org/officeDocument/2006/relationships/oleObject" Target="../embeddings/oleObject22.bin"/><Relationship Id="rId53" Type="http://schemas.openxmlformats.org/officeDocument/2006/relationships/oleObject" Target="../embeddings/oleObject26.bin"/><Relationship Id="rId58" Type="http://schemas.openxmlformats.org/officeDocument/2006/relationships/image" Target="../media/image33.emf"/><Relationship Id="rId66" Type="http://schemas.openxmlformats.org/officeDocument/2006/relationships/image" Target="../media/image37.emf"/><Relationship Id="rId74" Type="http://schemas.openxmlformats.org/officeDocument/2006/relationships/image" Target="../media/image41.emf"/><Relationship Id="rId5" Type="http://schemas.openxmlformats.org/officeDocument/2006/relationships/oleObject" Target="../embeddings/oleObject2.bin"/><Relationship Id="rId61" Type="http://schemas.openxmlformats.org/officeDocument/2006/relationships/oleObject" Target="../embeddings/oleObject30.bin"/><Relationship Id="rId19" Type="http://schemas.openxmlformats.org/officeDocument/2006/relationships/oleObject" Target="../embeddings/oleObject9.bin"/><Relationship Id="rId14" Type="http://schemas.openxmlformats.org/officeDocument/2006/relationships/image" Target="../media/image11.emf"/><Relationship Id="rId22" Type="http://schemas.openxmlformats.org/officeDocument/2006/relationships/image" Target="../media/image15.emf"/><Relationship Id="rId27" Type="http://schemas.openxmlformats.org/officeDocument/2006/relationships/oleObject" Target="../embeddings/oleObject13.bin"/><Relationship Id="rId30" Type="http://schemas.openxmlformats.org/officeDocument/2006/relationships/image" Target="../media/image19.emf"/><Relationship Id="rId35" Type="http://schemas.openxmlformats.org/officeDocument/2006/relationships/oleObject" Target="../embeddings/oleObject17.bin"/><Relationship Id="rId43" Type="http://schemas.openxmlformats.org/officeDocument/2006/relationships/oleObject" Target="../embeddings/oleObject21.bin"/><Relationship Id="rId48" Type="http://schemas.openxmlformats.org/officeDocument/2006/relationships/image" Target="../media/image28.emf"/><Relationship Id="rId56" Type="http://schemas.openxmlformats.org/officeDocument/2006/relationships/image" Target="../media/image32.emf"/><Relationship Id="rId64" Type="http://schemas.openxmlformats.org/officeDocument/2006/relationships/image" Target="../media/image36.emf"/><Relationship Id="rId69" Type="http://schemas.openxmlformats.org/officeDocument/2006/relationships/oleObject" Target="../embeddings/oleObject34.bin"/><Relationship Id="rId8" Type="http://schemas.openxmlformats.org/officeDocument/2006/relationships/image" Target="../media/image8.emf"/><Relationship Id="rId51" Type="http://schemas.openxmlformats.org/officeDocument/2006/relationships/oleObject" Target="../embeddings/oleObject25.bin"/><Relationship Id="rId72" Type="http://schemas.openxmlformats.org/officeDocument/2006/relationships/image" Target="../media/image40.emf"/><Relationship Id="rId3" Type="http://schemas.openxmlformats.org/officeDocument/2006/relationships/drawing" Target="../drawings/drawing5.xml"/><Relationship Id="rId12" Type="http://schemas.openxmlformats.org/officeDocument/2006/relationships/image" Target="../media/image10.emf"/><Relationship Id="rId17" Type="http://schemas.openxmlformats.org/officeDocument/2006/relationships/oleObject" Target="../embeddings/oleObject8.bin"/><Relationship Id="rId25" Type="http://schemas.openxmlformats.org/officeDocument/2006/relationships/oleObject" Target="../embeddings/oleObject12.bin"/><Relationship Id="rId33" Type="http://schemas.openxmlformats.org/officeDocument/2006/relationships/oleObject" Target="../embeddings/oleObject16.bin"/><Relationship Id="rId38" Type="http://schemas.openxmlformats.org/officeDocument/2006/relationships/image" Target="../media/image23.emf"/><Relationship Id="rId46" Type="http://schemas.openxmlformats.org/officeDocument/2006/relationships/image" Target="../media/image27.emf"/><Relationship Id="rId59" Type="http://schemas.openxmlformats.org/officeDocument/2006/relationships/oleObject" Target="../embeddings/oleObject29.bin"/><Relationship Id="rId67" Type="http://schemas.openxmlformats.org/officeDocument/2006/relationships/oleObject" Target="../embeddings/oleObject33.bin"/><Relationship Id="rId20" Type="http://schemas.openxmlformats.org/officeDocument/2006/relationships/image" Target="../media/image14.emf"/><Relationship Id="rId41" Type="http://schemas.openxmlformats.org/officeDocument/2006/relationships/oleObject" Target="../embeddings/oleObject20.bin"/><Relationship Id="rId54" Type="http://schemas.openxmlformats.org/officeDocument/2006/relationships/image" Target="../media/image31.emf"/><Relationship Id="rId62" Type="http://schemas.openxmlformats.org/officeDocument/2006/relationships/image" Target="../media/image35.emf"/><Relationship Id="rId70" Type="http://schemas.openxmlformats.org/officeDocument/2006/relationships/image" Target="../media/image39.emf"/><Relationship Id="rId75" Type="http://schemas.openxmlformats.org/officeDocument/2006/relationships/oleObject" Target="../embeddings/oleObject37.bin"/><Relationship Id="rId1" Type="http://schemas.openxmlformats.org/officeDocument/2006/relationships/hyperlink" Target="http://en.wikipedia.org/wiki/Template:Numerical_integrators" TargetMode="External"/><Relationship Id="rId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18.emf"/><Relationship Id="rId36" Type="http://schemas.openxmlformats.org/officeDocument/2006/relationships/image" Target="../media/image22.emf"/><Relationship Id="rId49" Type="http://schemas.openxmlformats.org/officeDocument/2006/relationships/oleObject" Target="../embeddings/oleObject24.bin"/><Relationship Id="rId57" Type="http://schemas.openxmlformats.org/officeDocument/2006/relationships/oleObject" Target="../embeddings/oleObject28.bin"/><Relationship Id="rId10" Type="http://schemas.openxmlformats.org/officeDocument/2006/relationships/image" Target="../media/image9.emf"/><Relationship Id="rId31" Type="http://schemas.openxmlformats.org/officeDocument/2006/relationships/oleObject" Target="../embeddings/oleObject15.bin"/><Relationship Id="rId44" Type="http://schemas.openxmlformats.org/officeDocument/2006/relationships/image" Target="../media/image26.emf"/><Relationship Id="rId52" Type="http://schemas.openxmlformats.org/officeDocument/2006/relationships/image" Target="../media/image30.emf"/><Relationship Id="rId60" Type="http://schemas.openxmlformats.org/officeDocument/2006/relationships/image" Target="../media/image34.emf"/><Relationship Id="rId65" Type="http://schemas.openxmlformats.org/officeDocument/2006/relationships/oleObject" Target="../embeddings/oleObject32.bin"/><Relationship Id="rId73" Type="http://schemas.openxmlformats.org/officeDocument/2006/relationships/oleObject" Target="../embeddings/oleObject36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4.bin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13.emf"/><Relationship Id="rId39" Type="http://schemas.openxmlformats.org/officeDocument/2006/relationships/oleObject" Target="../embeddings/oleObject19.bin"/><Relationship Id="rId34" Type="http://schemas.openxmlformats.org/officeDocument/2006/relationships/image" Target="../media/image21.emf"/><Relationship Id="rId50" Type="http://schemas.openxmlformats.org/officeDocument/2006/relationships/image" Target="../media/image29.emf"/><Relationship Id="rId55" Type="http://schemas.openxmlformats.org/officeDocument/2006/relationships/oleObject" Target="../embeddings/oleObject27.bin"/><Relationship Id="rId76" Type="http://schemas.openxmlformats.org/officeDocument/2006/relationships/image" Target="../media/image42.emf"/><Relationship Id="rId7" Type="http://schemas.openxmlformats.org/officeDocument/2006/relationships/oleObject" Target="../embeddings/oleObject3.bin"/><Relationship Id="rId71" Type="http://schemas.openxmlformats.org/officeDocument/2006/relationships/oleObject" Target="../embeddings/oleObject3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8.bin"/><Relationship Id="rId7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43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creativecommons.org/licenses/by-sa/3.0/" TargetMode="External"/><Relationship Id="rId2" Type="http://schemas.openxmlformats.org/officeDocument/2006/relationships/hyperlink" Target="mailto:espace@planete-sciences.org" TargetMode="External"/><Relationship Id="rId1" Type="http://schemas.openxmlformats.org/officeDocument/2006/relationships/hyperlink" Target="http://www.planete-sciences.org/espace/basedoc/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7EE12-8C19-9F4B-B63B-E6B4AC5B4D7E}">
  <sheetPr codeName="Feuil2">
    <pageSetUpPr fitToPage="1"/>
  </sheetPr>
  <dimension ref="A1:W361"/>
  <sheetViews>
    <sheetView showGridLines="0" topLeftCell="A16" zoomScale="85" zoomScaleNormal="85" zoomScaleSheetLayoutView="100" workbookViewId="0">
      <selection activeCell="C10" sqref="C10:D10"/>
    </sheetView>
  </sheetViews>
  <sheetFormatPr baseColWidth="10" defaultColWidth="11.36328125" defaultRowHeight="13" x14ac:dyDescent="0.3"/>
  <cols>
    <col min="1" max="1" width="2.1796875" style="24" customWidth="1"/>
    <col min="2" max="2" width="16.36328125" style="24" customWidth="1"/>
    <col min="3" max="3" width="12.81640625" style="31" customWidth="1"/>
    <col min="4" max="4" width="12.81640625" style="24" customWidth="1"/>
    <col min="5" max="5" width="4.1796875" style="89" customWidth="1"/>
    <col min="6" max="6" width="10.1796875" style="26" bestFit="1" customWidth="1"/>
    <col min="7" max="7" width="10" style="26" bestFit="1" customWidth="1"/>
    <col min="8" max="9" width="8.6328125" style="26" customWidth="1"/>
    <col min="10" max="10" width="5.36328125" style="24" customWidth="1"/>
    <col min="11" max="11" width="2.1796875" style="24" customWidth="1"/>
    <col min="12" max="12" width="17" style="24" customWidth="1"/>
    <col min="13" max="13" width="8.6328125" style="24" customWidth="1"/>
    <col min="14" max="15" width="4.36328125" style="24" customWidth="1"/>
    <col min="16" max="16" width="8.6328125" style="24" customWidth="1"/>
    <col min="17" max="18" width="2.1796875" style="24" customWidth="1"/>
    <col min="19" max="16384" width="11.36328125" style="24"/>
  </cols>
  <sheetData>
    <row r="1" spans="1:20" ht="12.75" customHeight="1" x14ac:dyDescent="0.3">
      <c r="A1" s="19"/>
      <c r="B1" s="20"/>
      <c r="C1" s="21"/>
      <c r="D1" s="20"/>
      <c r="E1" s="88"/>
      <c r="F1" s="22"/>
      <c r="G1" s="22"/>
      <c r="H1" s="22"/>
      <c r="I1" s="22"/>
      <c r="J1" s="20"/>
      <c r="K1" s="20"/>
      <c r="L1" s="20"/>
      <c r="M1" s="20"/>
      <c r="N1" s="20"/>
      <c r="O1" s="20"/>
      <c r="P1" s="20"/>
      <c r="Q1" s="23"/>
    </row>
    <row r="2" spans="1:20" ht="12.75" customHeight="1" x14ac:dyDescent="0.3">
      <c r="A2" s="25"/>
      <c r="C2" s="551" t="s">
        <v>56</v>
      </c>
      <c r="D2" s="551"/>
      <c r="L2" s="147" t="str">
        <f>"Language/Langue"</f>
        <v>Language/Langue</v>
      </c>
      <c r="M2" s="574" t="s">
        <v>1</v>
      </c>
      <c r="N2" s="574"/>
      <c r="O2" s="574"/>
      <c r="P2" s="575"/>
      <c r="Q2" s="27"/>
    </row>
    <row r="3" spans="1:20" ht="12.75" customHeight="1" x14ac:dyDescent="0.3">
      <c r="A3" s="25"/>
      <c r="C3" s="551"/>
      <c r="D3" s="551"/>
      <c r="L3" s="586"/>
      <c r="M3" s="586"/>
      <c r="N3" s="45"/>
      <c r="Q3" s="27"/>
    </row>
    <row r="4" spans="1:20" ht="12.75" customHeight="1" x14ac:dyDescent="0.3">
      <c r="A4" s="25"/>
      <c r="C4" s="552" t="str">
        <f>IF(Lang="Français","Stabilité de fusée à ailerons",IF(Lang="English","Stability for rocket with fins",""))</f>
        <v>Stabilité de fusée à ailerons</v>
      </c>
      <c r="D4" s="552"/>
      <c r="L4" s="33"/>
      <c r="M4" s="574" t="s">
        <v>553</v>
      </c>
      <c r="N4" s="574"/>
      <c r="O4" s="574"/>
      <c r="P4" s="575"/>
      <c r="Q4" s="27"/>
    </row>
    <row r="5" spans="1:20" ht="12.75" customHeight="1" x14ac:dyDescent="0.3">
      <c r="A5" s="25"/>
      <c r="B5" s="28"/>
      <c r="C5" s="535"/>
      <c r="D5" s="535"/>
      <c r="L5" s="33"/>
      <c r="M5" s="582" t="s">
        <v>159</v>
      </c>
      <c r="N5" s="583"/>
      <c r="O5" s="589" t="s">
        <v>160</v>
      </c>
      <c r="P5" s="589"/>
      <c r="Q5" s="29"/>
    </row>
    <row r="6" spans="1:20" ht="12.75" customHeight="1" thickBot="1" x14ac:dyDescent="0.35">
      <c r="A6" s="25"/>
      <c r="B6" s="87"/>
      <c r="C6" s="548" t="str">
        <f>IF(Lang="Français","Remplir les cases jaunes",IF(Lang="English","Fill-in yellow cells only",""))</f>
        <v>Remplir les cases jaunes</v>
      </c>
      <c r="D6" s="548"/>
      <c r="L6" s="139" t="str">
        <f>IF(Lang="Français","Longueur      'L'",IF(Lang="English","Length      'L'",""))</f>
        <v>Longueur      'L'</v>
      </c>
      <c r="M6" s="549">
        <v>150</v>
      </c>
      <c r="N6" s="550"/>
      <c r="O6" s="566">
        <v>50</v>
      </c>
      <c r="P6" s="566"/>
      <c r="Q6" s="29"/>
    </row>
    <row r="7" spans="1:20" ht="12.75" customHeight="1" thickTop="1" thickBot="1" x14ac:dyDescent="0.35">
      <c r="A7" s="25"/>
      <c r="B7" s="31"/>
      <c r="C7" s="554" t="str">
        <f>IF(Lang="Français","Fusée",IF(Lang="English","Rocket",""))</f>
        <v>Fusée</v>
      </c>
      <c r="D7" s="555"/>
      <c r="L7" s="139" t="str">
        <f>IF(Lang="Français","Diamètre     'D1'",IF(Lang="English","Diameter 'D1'",""))</f>
        <v>Diamètre     'D1'</v>
      </c>
      <c r="M7" s="549">
        <f>D_og</f>
        <v>64</v>
      </c>
      <c r="N7" s="550"/>
      <c r="O7" s="566">
        <f>D_ref</f>
        <v>120</v>
      </c>
      <c r="P7" s="566"/>
      <c r="Q7" s="29"/>
    </row>
    <row r="8" spans="1:20" ht="12.75" customHeight="1" thickTop="1" x14ac:dyDescent="0.3">
      <c r="A8" s="25"/>
      <c r="B8" s="138" t="str">
        <f>IF(Lang="Français","Nom",IF(Lang="English","Name",""))</f>
        <v>Nom</v>
      </c>
      <c r="C8" s="558" t="s">
        <v>554</v>
      </c>
      <c r="D8" s="558"/>
      <c r="E8" s="90"/>
      <c r="K8" s="33"/>
      <c r="L8" s="139" t="str">
        <f>IF(Lang="Français","Diamètre     'D2'",IF(Lang="English","Diameter 'D2'",""))</f>
        <v>Diamètre     'D2'</v>
      </c>
      <c r="M8" s="549">
        <f>D_ref</f>
        <v>120</v>
      </c>
      <c r="N8" s="550"/>
      <c r="O8" s="566">
        <v>120</v>
      </c>
      <c r="P8" s="566"/>
      <c r="Q8" s="29"/>
    </row>
    <row r="9" spans="1:20" ht="12.75" customHeight="1" x14ac:dyDescent="0.3">
      <c r="A9" s="25"/>
      <c r="B9" s="138" t="s">
        <v>4</v>
      </c>
      <c r="C9" s="559" t="s">
        <v>555</v>
      </c>
      <c r="D9" s="559"/>
      <c r="E9" s="90"/>
      <c r="K9" s="33"/>
      <c r="L9" s="139" t="str">
        <f>IF(Lang="Français","Implantation 'x'",IF(Lang="English","Basement 'x'",""))</f>
        <v>Implantation 'x'</v>
      </c>
      <c r="M9" s="549">
        <v>900</v>
      </c>
      <c r="N9" s="550"/>
      <c r="O9" s="566">
        <f>Long_tot-l_r</f>
        <v>1750</v>
      </c>
      <c r="P9" s="566"/>
      <c r="Q9" s="29"/>
    </row>
    <row r="10" spans="1:20" ht="12.75" customHeight="1" x14ac:dyDescent="0.3">
      <c r="A10" s="25"/>
      <c r="B10" s="139" t="s">
        <v>57</v>
      </c>
      <c r="C10" s="556" t="s">
        <v>551</v>
      </c>
      <c r="D10" s="557"/>
      <c r="E10" s="90"/>
      <c r="K10" s="33"/>
      <c r="Q10" s="29"/>
    </row>
    <row r="11" spans="1:20" ht="12.75" customHeight="1" x14ac:dyDescent="0.3">
      <c r="A11" s="25"/>
      <c r="B11" s="139" t="str">
        <f>IF(Lang="Français","Masse",IF(Lang="English","Weight",""))</f>
        <v>Masse</v>
      </c>
      <c r="C11" s="222">
        <v>9000</v>
      </c>
      <c r="D11" s="34" t="s">
        <v>427</v>
      </c>
      <c r="E11" s="90"/>
      <c r="K11" s="33"/>
      <c r="L11" s="107"/>
      <c r="M11" s="224" t="str">
        <f>IF(Lang="Français","Propu plein",IF(Lang="English","Loaded Motor",""))</f>
        <v>Propu plein</v>
      </c>
      <c r="N11" s="587" t="str">
        <f>IF(Lang="Français","Propu vide",IF(Lang="English","Empty Motor",""))</f>
        <v>Propu vide</v>
      </c>
      <c r="O11" s="588"/>
      <c r="P11" s="224" t="str">
        <f>IF(Lang="Français","Sans propu",IF(Lang="English","Without M",""))</f>
        <v>Sans propu</v>
      </c>
      <c r="Q11" s="29"/>
      <c r="S11" s="385"/>
      <c r="T11" s="386" t="str">
        <f>IF(Lang="Français","Propulseur",IF(Lang="English","Motor",""))</f>
        <v>Propulseur</v>
      </c>
    </row>
    <row r="12" spans="1:20" ht="12.75" customHeight="1" x14ac:dyDescent="0.3">
      <c r="A12" s="25"/>
      <c r="B12" s="139" t="str">
        <f>IF(Lang="Français","Centre de Masse",IF(Lang="English","Center of Mass",""))</f>
        <v>Centre de Masse</v>
      </c>
      <c r="C12" s="35">
        <v>709</v>
      </c>
      <c r="D12" s="34" t="s">
        <v>427</v>
      </c>
      <c r="L12" s="108" t="str">
        <f>IF(Lang="Français","Masse propu",IF(Lang="English","Motor Mass",""))</f>
        <v>Masse propu</v>
      </c>
      <c r="M12" s="109">
        <f ca="1">MpropuPlein</f>
        <v>3.5110000000000001</v>
      </c>
      <c r="N12" s="578">
        <f ca="1">MpropuVide</f>
        <v>1.6379999999999999</v>
      </c>
      <c r="O12" s="579"/>
      <c r="P12" s="110" t="s">
        <v>14</v>
      </c>
      <c r="Q12" s="29"/>
      <c r="S12" s="386" t="str">
        <f>IF(Lang="Français","Haut",IF(Lang="English","Top",""))</f>
        <v>Haut</v>
      </c>
      <c r="T12" s="387">
        <f ca="1">XpropuRef-Long_propu</f>
        <v>1314</v>
      </c>
    </row>
    <row r="13" spans="1:20" ht="12.75" customHeight="1" x14ac:dyDescent="0.3">
      <c r="A13" s="25"/>
      <c r="B13" s="139" t="str">
        <f>IF(Lang="Français","Longueur totale",IF(Lang="English","Total length",""))</f>
        <v>Longueur totale</v>
      </c>
      <c r="C13" s="549">
        <v>1800</v>
      </c>
      <c r="D13" s="550"/>
      <c r="L13" s="108" t="str">
        <f>IF(Lang="Français","CdM propu",IF(Lang="English","Motor CoM",""))</f>
        <v>CdM propu</v>
      </c>
      <c r="M13" s="111">
        <f ca="1">XpropuPlein</f>
        <v>243</v>
      </c>
      <c r="N13" s="576">
        <f ca="1">XpropuVide</f>
        <v>243</v>
      </c>
      <c r="O13" s="577"/>
      <c r="P13" s="110" t="s">
        <v>14</v>
      </c>
      <c r="Q13" s="29"/>
      <c r="S13" s="386" t="str">
        <f>IF(Lang="Français","Longueur",IF(Lang="English","Length",""))</f>
        <v>Longueur</v>
      </c>
      <c r="T13" s="387">
        <f ca="1">Long_propu</f>
        <v>486</v>
      </c>
    </row>
    <row r="14" spans="1:20" ht="12.75" customHeight="1" x14ac:dyDescent="0.3">
      <c r="A14" s="25"/>
      <c r="B14" s="139" t="str">
        <f>IF(Lang="Français","Diamètre Réf.",IF(Lang="English","Ref. Diameter",""))</f>
        <v>Diamètre Réf.</v>
      </c>
      <c r="C14" s="549">
        <v>120</v>
      </c>
      <c r="D14" s="550"/>
      <c r="L14" s="108" t="str">
        <f>IF(Lang="Français","Masse fusée",IF(Lang="English","Rocket Mass",""))</f>
        <v>Masse fusée</v>
      </c>
      <c r="M14" s="112">
        <f ca="1">MasseSans+MpropuPlein</f>
        <v>12.510999999999999</v>
      </c>
      <c r="N14" s="560">
        <f ca="1">MasseSans+MpropuVide</f>
        <v>10.638</v>
      </c>
      <c r="O14" s="561"/>
      <c r="P14" s="109">
        <f>IF(OR(D11="sans propu",D11="without motor"),C11/1000,IF(OR(D11="avec propu vide",D11="with empty motor"),C11/1000-MpropuVide,IF(OR(D11="avec propu plein",D11="with loaded motor"),C11/1000-MpropuPlein,"Erreur")))</f>
        <v>9</v>
      </c>
      <c r="Q14" s="29"/>
      <c r="S14" s="386" t="str">
        <f>IF(Lang="Français","Bas",IF(Lang="English","Base",""))</f>
        <v>Bas</v>
      </c>
      <c r="T14" s="387">
        <f>XpropuRef</f>
        <v>1800</v>
      </c>
    </row>
    <row r="15" spans="1:20" ht="12.75" customHeight="1" thickBot="1" x14ac:dyDescent="0.35">
      <c r="A15" s="25"/>
      <c r="D15" s="31"/>
      <c r="L15" s="175" t="str">
        <f>IF(Lang="Français","CdM fusée",IF(Lang="English","Rocket CoM",""))</f>
        <v>CdM fusée</v>
      </c>
      <c r="M15" s="176">
        <f ca="1">(XcgSans*MasseSans+(XpropuRef-Long_propu+XpropuPlein)*MpropuPlein)/MassePlein</f>
        <v>946.97682039804977</v>
      </c>
      <c r="N15" s="562">
        <f ca="1">(XcgSans*MasseSans+(XpropuRef-Long_propu+XpropuVide)*MpropuVide)/MasseVide</f>
        <v>839.57191201353635</v>
      </c>
      <c r="O15" s="563"/>
      <c r="P15" s="113">
        <f>IF(OR(D12="sans propu",D12="without motor"),C12,IF(OR(D12="avec propu vide",D12="with empty motor"),(C12*MasseVide-(XpropuRef-Long_propu+XpropuVide)*MpropuVide)/MasseSans,IF(OR(D12="avec propu plein",D12="with loaded motor"),(C12*MassePlein-(XpropuRef-Long_propu+XpropuPlein)*MpropuPlein)/MasseSans,"Erreur")))</f>
        <v>709</v>
      </c>
      <c r="Q15" s="29"/>
    </row>
    <row r="16" spans="1:20" ht="12.75" customHeight="1" thickTop="1" thickBot="1" x14ac:dyDescent="0.35">
      <c r="A16" s="25"/>
      <c r="C16" s="537" t="str">
        <f>IF(Lang="Français","Propulseur",IF(Lang="English","Motor",""))</f>
        <v>Propulseur</v>
      </c>
      <c r="D16" s="538"/>
      <c r="L16" s="94"/>
      <c r="M16" s="94"/>
      <c r="N16" s="94"/>
      <c r="O16" s="94"/>
      <c r="P16" s="94"/>
      <c r="Q16" s="29"/>
      <c r="S16" s="385"/>
      <c r="T16" s="386" t="str">
        <f>IF(RIGHT(Type_masquage,1)=",",IF(Lang="Français","Ailerons","Fins"),IF(Lang="Français","Ailerons bas","Lower Fins"))</f>
        <v>Ailerons bas</v>
      </c>
    </row>
    <row r="17" spans="1:20" ht="12.75" customHeight="1" thickTop="1" x14ac:dyDescent="0.3">
      <c r="A17" s="25"/>
      <c r="B17" s="139" t="s">
        <v>57</v>
      </c>
      <c r="C17" s="539" t="s">
        <v>46</v>
      </c>
      <c r="D17" s="540"/>
      <c r="L17" s="114"/>
      <c r="M17" s="584" t="s">
        <v>58</v>
      </c>
      <c r="N17" s="585"/>
      <c r="O17" s="590" t="s">
        <v>68</v>
      </c>
      <c r="P17" s="590"/>
      <c r="Q17" s="29"/>
      <c r="S17" s="386" t="str">
        <f>IF(Lang="Français","Haut","Top")</f>
        <v>Haut</v>
      </c>
      <c r="T17" s="387">
        <f>X_ail-m_ail</f>
        <v>1486</v>
      </c>
    </row>
    <row r="18" spans="1:20" ht="12.75" customHeight="1" x14ac:dyDescent="0.3">
      <c r="A18" s="25"/>
      <c r="B18" s="139" t="str">
        <f>IF(Lang="Français","Position du bas",IF(Lang="English","Basement",""))</f>
        <v>Position du bas</v>
      </c>
      <c r="C18" s="566">
        <f>Long_tot</f>
        <v>1800</v>
      </c>
      <c r="D18" s="566"/>
      <c r="K18" s="37"/>
      <c r="L18" s="108" t="str">
        <f>IF(Lang="Français","Coiffe",IF(Lang="English","Nose Cone",""))</f>
        <v>Coiffe</v>
      </c>
      <c r="M18" s="542">
        <f>IF(LEFT(Forme_ogive,5)="Parab",1/2*Long_ogive,IF(LEFT(Forme_ogive,4)="Ogiv",7/15*Long_ogive,IF(LEFT(Forme_ogive,3)="Con",2/3*Long_ogive)))</f>
        <v>186.66666666666666</v>
      </c>
      <c r="N18" s="543"/>
      <c r="O18" s="541">
        <f>2*POWER(D_og/D_ref, 2)</f>
        <v>0.56888888888888889</v>
      </c>
      <c r="P18" s="541"/>
      <c r="Q18" s="29"/>
      <c r="S18" s="386" t="str">
        <f>IF(Lang="Français","Emplanture","Root edge")</f>
        <v>Emplanture</v>
      </c>
      <c r="T18" s="387">
        <f>m_ail</f>
        <v>264</v>
      </c>
    </row>
    <row r="19" spans="1:20" ht="12.75" customHeight="1" thickBot="1" x14ac:dyDescent="0.35">
      <c r="A19" s="25"/>
      <c r="B19" s="428" t="str">
        <f>IF(Propu="Cariacou","Cariacou :"," ")</f>
        <v xml:space="preserve"> </v>
      </c>
      <c r="C19" s="567" t="str">
        <f>IF(Propu="Cariacou",IF(Lang="Français","Campagne nationale",IF(Lang="English","National campagn only","")),"")</f>
        <v/>
      </c>
      <c r="D19" s="567"/>
      <c r="L19" s="108" t="str">
        <f>IF(Lang="Français","Ailerons",IF(Lang="English","Fins",""))</f>
        <v>Ailerons</v>
      </c>
      <c r="M19" s="542">
        <f>(XCpa*Cnail-0.5*XCpi*Cni)/Cnai</f>
        <v>1634.6760119588812</v>
      </c>
      <c r="N19" s="543"/>
      <c r="O19" s="544">
        <f>Cnail-Cni/2</f>
        <v>8.3601378998464888</v>
      </c>
      <c r="P19" s="545"/>
      <c r="Q19" s="29"/>
      <c r="S19" s="386" t="str">
        <f>IF(Lang="Français","Bas","Base")</f>
        <v>Bas</v>
      </c>
      <c r="T19" s="387">
        <f>X_ail</f>
        <v>1750</v>
      </c>
    </row>
    <row r="20" spans="1:20" ht="12.75" customHeight="1" thickTop="1" thickBot="1" x14ac:dyDescent="0.35">
      <c r="A20" s="25"/>
      <c r="B20" s="30"/>
      <c r="C20" s="546" t="str">
        <f>IF(Lang="Français","Coiffe",IF(Lang="English","Nose Cone",""))</f>
        <v>Coiffe</v>
      </c>
      <c r="D20" s="547"/>
      <c r="L20" s="108" t="str">
        <f>IF(Lang="Français","Ail bas entier",IF(Lang="English","Total Lower Fins",""))</f>
        <v>Ail bas entier</v>
      </c>
      <c r="M20" s="542">
        <f>X_ail-m_ail+p_ail*(m_ail+2*n_ail)/(3*(m_ail+n_ail))+(m_ail+n_ail-m_ail*n_ail/(m_ail+n_ail))/6</f>
        <v>1627.7058823529412</v>
      </c>
      <c r="N20" s="543"/>
      <c r="O20" s="541">
        <f>4*Q_ail*POWER((E_ail/D_ref),2)*(1+D_ail/(2*E_ail+D_ail))/(1+SQRT(1+POWER(2*f_ail/(m_ail+n_ail),2)))</f>
        <v>13.10156713063156</v>
      </c>
      <c r="P20" s="541"/>
      <c r="Q20" s="29"/>
    </row>
    <row r="21" spans="1:20" ht="12.75" customHeight="1" thickTop="1" x14ac:dyDescent="0.3">
      <c r="A21" s="25"/>
      <c r="B21" s="139" t="str">
        <f>IF(Lang="Français","Forme",IF(Lang="English","Shape",""))</f>
        <v>Forme</v>
      </c>
      <c r="C21" s="568" t="s">
        <v>552</v>
      </c>
      <c r="D21" s="569"/>
      <c r="L21" s="108" t="str">
        <f>IF(Lang="Français","Ailerons haut",IF(Lang="English","Upper Fins",""))</f>
        <v>Ailerons haut</v>
      </c>
      <c r="M21" s="542">
        <f>IF(LEFT(Type_masquage,1)="M",0, X_can-m_can+p_can*(m_can+2*n_can)/(3*(m_can+n_can))+(m_can+n_can-m_can*n_can/(m_can+n_can))/6)</f>
        <v>916.93798449612405</v>
      </c>
      <c r="N21" s="543"/>
      <c r="O21" s="541">
        <f>IF(LEFT(Type_masquage,1)="M",0, 4*Q_can*POWER((E_can/D_ref),2)*(1+D_can/(2*E_can+D_can))/(1+SQRT(1+POWER(2*f_can/(m_can+n_can),2))))</f>
        <v>6.2392964546873388</v>
      </c>
      <c r="P21" s="541"/>
      <c r="Q21" s="29"/>
    </row>
    <row r="22" spans="1:20" ht="12.75" customHeight="1" x14ac:dyDescent="0.3">
      <c r="A22" s="25"/>
      <c r="B22" s="139" t="str">
        <f>IF(Lang="Français","Hauteur",IF(Lang="English","Heigth",""))</f>
        <v>Hauteur</v>
      </c>
      <c r="C22" s="549">
        <v>280</v>
      </c>
      <c r="D22" s="550"/>
      <c r="L22" s="108" t="str">
        <f>IF(Lang="Français","Partie masquée",IF(Lang="English","Interation zone",""))</f>
        <v>Partie masquée</v>
      </c>
      <c r="M22" s="553">
        <f>IF(LEFT(Type_masquage,1)="B", X_int-m_int+p_int*(m_int+2*n_int)/(3*(m_int+n_int))+(m_int+n_int-m_int*n_int/(m_int+n_int))/6, 0 )</f>
        <v>1615.4160765055569</v>
      </c>
      <c r="N22" s="553"/>
      <c r="O22" s="544">
        <f>IF(LEFT(Type_masquage,1)="B", 4*Q_int*POWER((E_int/D_ref),2)*(1+D_int/(2*E_int+D_int))/(1+SQRT(1+POWER(2*f_int/(m_int+n_int),2))), 0 )</f>
        <v>9.4828584615701406</v>
      </c>
      <c r="P22" s="545"/>
      <c r="Q22" s="29"/>
    </row>
    <row r="23" spans="1:20" ht="12.75" customHeight="1" x14ac:dyDescent="0.3">
      <c r="A23" s="25"/>
      <c r="B23" s="139" t="str">
        <f>IF(Lang="Français","Diamètre",IF(Lang="English","Diameter",""))</f>
        <v>Diamètre</v>
      </c>
      <c r="C23" s="549">
        <v>64</v>
      </c>
      <c r="D23" s="550"/>
      <c r="L23" s="108" t="s">
        <v>159</v>
      </c>
      <c r="M23" s="542">
        <f>IF(OR(RIGHT(Nb_diam,1)=",",D2j=0),0, X_j+l_j/3*(1+1/(1+D1j/D2j)) )</f>
        <v>982.60869565217388</v>
      </c>
      <c r="N23" s="543"/>
      <c r="O23" s="541">
        <f>IF(OR(RIGHT(Nb_diam,1)=",",D2j=0),0,2*(POWER(D2j/D_ref,2)-POWER(D1j/D_ref,2)))</f>
        <v>1.431111111111111</v>
      </c>
      <c r="P23" s="541"/>
      <c r="Q23" s="29"/>
    </row>
    <row r="24" spans="1:20" ht="12.75" customHeight="1" thickBot="1" x14ac:dyDescent="0.35">
      <c r="A24" s="25"/>
      <c r="L24" s="108" t="s">
        <v>160</v>
      </c>
      <c r="M24" s="542">
        <f>IF( OR(RIGHT(Nb_diam,1)=",",D2r=0), 0, X_r+l_r/3*(1+1/(1+D1r/D2r)) )</f>
        <v>1775</v>
      </c>
      <c r="N24" s="543"/>
      <c r="O24" s="541">
        <f>IF( OR(RIGHT(Nb_diam,1)=",",D2r=0), 0, 2*(POWER(D2r/D_ref,2)-POWER(D1r/D_ref,2)) )</f>
        <v>0</v>
      </c>
      <c r="P24" s="541"/>
      <c r="Q24" s="29"/>
    </row>
    <row r="25" spans="1:20" ht="12.75" customHeight="1" thickTop="1" thickBot="1" x14ac:dyDescent="0.35">
      <c r="A25" s="25"/>
      <c r="B25" s="30"/>
      <c r="C25" s="178" t="str">
        <f>IF(LEFT(Type_masquage,1)="M",IF(Lang="Français","Ailerons","Fins"),IF(Lang="Français","Ailerons bas","Lower Fins"))</f>
        <v>Ailerons bas</v>
      </c>
      <c r="D25" s="179" t="str">
        <f>IF(Lang="Français","Ailerons haut",IF(Lang="English","Upper Fins",""))</f>
        <v>Ailerons haut</v>
      </c>
      <c r="E25" s="180" t="s">
        <v>154</v>
      </c>
      <c r="L25" s="38"/>
      <c r="M25" s="38"/>
      <c r="N25" s="38"/>
      <c r="Q25" s="29"/>
      <c r="R25" s="38"/>
      <c r="S25" s="388" t="str">
        <f ca="1">IF(AND(Portee_balistique&gt;200,LEFT(Propu,2)="p2"),IF(Lang="Français","Fusée trop lègère !","Rocket too light"),"")</f>
        <v/>
      </c>
    </row>
    <row r="26" spans="1:20" ht="12.75" customHeight="1" thickTop="1" x14ac:dyDescent="0.3">
      <c r="A26" s="25"/>
      <c r="B26" s="30"/>
      <c r="C26" s="564" t="s">
        <v>429</v>
      </c>
      <c r="D26" s="565"/>
      <c r="F26" s="39">
        <f ca="1">TODAY()</f>
        <v>45707</v>
      </c>
      <c r="G26" s="137" t="s">
        <v>65</v>
      </c>
      <c r="H26" s="536" t="str">
        <f>IF(Lang="Français","Résultats",IF(Lang="English","Results",""))</f>
        <v>Résultats</v>
      </c>
      <c r="I26" s="536"/>
      <c r="J26" s="137" t="s">
        <v>66</v>
      </c>
      <c r="K26" s="32"/>
      <c r="L26" s="38"/>
      <c r="M26" s="38"/>
      <c r="N26" s="38"/>
      <c r="Q26" s="29"/>
      <c r="R26" s="38"/>
      <c r="S26" s="388" t="str">
        <f ca="1">IF(AND(Vsortie_de_rampe&lt;18, OR(LEFT(Type_fusee,1)=",",LEFT(Type_fusee,4)="Mini",LEFT(Type_fusee,1)="R")),IF(Lang="Français","Fusée trop lourde ou rampe trop courte !","Rocket too heavy or launch pad too small!"),"")</f>
        <v/>
      </c>
    </row>
    <row r="27" spans="1:20" ht="12.75" customHeight="1" x14ac:dyDescent="0.3">
      <c r="A27" s="25"/>
      <c r="B27" s="526" t="str">
        <f>IF(Lang="Français"," Emplanture  'm'",IF(Lang="English"," Root edge  'm'",""))</f>
        <v xml:space="preserve"> Emplanture  'm'</v>
      </c>
      <c r="C27" s="177">
        <v>264</v>
      </c>
      <c r="D27" s="177">
        <v>178</v>
      </c>
      <c r="E27" s="146">
        <f>m_ail</f>
        <v>264</v>
      </c>
      <c r="F27" s="105" t="s">
        <v>67</v>
      </c>
      <c r="G27" s="104">
        <f>IF(RIGHT(Type_fusee,1)=".",10, IF(OR(LEFT(Type_fusee,1)="R",LEFT(Type_fusee,1)=",",LEFT(Type_fusee,4)="Mini"),10, IF(LEFT(Type_fusee,5)="Micro",10, IF(RIGHT(Type_fusee,1)=" ",1))))</f>
        <v>10</v>
      </c>
      <c r="H27" s="580">
        <f>Long_tot/D_ref</f>
        <v>15</v>
      </c>
      <c r="I27" s="581"/>
      <c r="J27" s="104">
        <f>IF(RIGHT(Type_fusee,1)=".",35, IF(OR(LEFT(Type_fusee,1)="R",LEFT(Type_fusee,1)=",",LEFT(Type_fusee,4)="Mini"),20, IF(LEFT(Type_fusee,5)="Micro",30, IF(RIGHT(Type_fusee,1)=" ",100))))</f>
        <v>35</v>
      </c>
      <c r="K27" s="32"/>
      <c r="L27" s="38"/>
      <c r="M27" s="38"/>
      <c r="N27" s="38"/>
      <c r="Q27" s="29"/>
      <c r="R27" s="38"/>
      <c r="S27" s="388" t="str">
        <f>IF(Finesse&lt;CritFinessemin, IF(Lang="Français","Fusée trop courte !","Rocket too short!"), "" ) &amp; IF(Finesse&gt;CritFinessemax, IF(Lang="Français","Fusée trop longue !","Rocket too long!"), "" )</f>
        <v/>
      </c>
    </row>
    <row r="28" spans="1:20" ht="12.75" customHeight="1" x14ac:dyDescent="0.3">
      <c r="A28" s="25"/>
      <c r="B28" s="526" t="str">
        <f>IF(Lang="Français"," Saumon       'n'",IF(Lang="English"," Tip edge    'n'",""))</f>
        <v xml:space="preserve"> Saumon       'n'</v>
      </c>
      <c r="C28" s="35">
        <v>110</v>
      </c>
      <c r="D28" s="35">
        <v>80</v>
      </c>
      <c r="E28" s="146">
        <f>n_ail+(m_ail-n_ail)*(1-E_int/E_ail)</f>
        <v>140.0251572327044</v>
      </c>
      <c r="F28" s="105" t="str">
        <f>IF(Lang="Français","Portance","Lift")</f>
        <v>Portance</v>
      </c>
      <c r="G28" s="104">
        <f>IF(RIGHT(Type_fusee,1)=".",15,IF(OR(LEFT(Type_fusee,1)="R",LEFT(Type_fusee,1)=",",LEFT(Type_fusee,4)="Mini"),15, IF(LEFT(Type_fusee,5)="Micro",15, IF(RIGHT(Type_fusee,1)=" ",15))))</f>
        <v>15</v>
      </c>
      <c r="H28" s="510">
        <f>Cnai+Cnc+Cno+Cnj+Cnr</f>
        <v>16.599434354533827</v>
      </c>
      <c r="I28" s="510">
        <f>Cnail+Cnc+Cno+Cnj+Cnr</f>
        <v>21.3408635853189</v>
      </c>
      <c r="J28" s="104">
        <f>IF(RIGHT(Type_fusee,1)=".",40, IF(OR(LEFT(Type_fusee,1)="R",LEFT(Type_fusee,1)=",",LEFT(Type_fusee,4)="Mini"),30, IF(LEFT(Type_fusee,5)="Micro",30, IF(RIGHT(Type_fusee,1)=" ",30))))</f>
        <v>40</v>
      </c>
      <c r="K28" s="32"/>
      <c r="L28" s="38"/>
      <c r="M28" s="38"/>
      <c r="N28" s="38"/>
      <c r="Q28" s="29"/>
      <c r="R28" s="38"/>
      <c r="S28" s="388" t="str">
        <f>IF(Cn&lt;CritCnmin, IF(Lang="Français","Ailerons trop petits !","Fins too small!"), "" ) &amp; IF(Cn&gt;CritCnmax, IF(Lang="Français","Ailerons trop grands !","Fins too big!"), "" )</f>
        <v/>
      </c>
    </row>
    <row r="29" spans="1:20" ht="12.75" customHeight="1" x14ac:dyDescent="0.3">
      <c r="A29" s="25"/>
      <c r="B29" s="526" t="str">
        <f>IF(Lang="Français"," Flèche          'p'"," Offset         'p'")</f>
        <v xml:space="preserve"> Flèche          'p'</v>
      </c>
      <c r="C29" s="35">
        <v>214</v>
      </c>
      <c r="D29" s="35">
        <v>140</v>
      </c>
      <c r="E29" s="146">
        <f>p_ail*E_int/E_ail</f>
        <v>172.27672955974842</v>
      </c>
      <c r="F29" s="517" t="str">
        <f>IF(Lang="Français","MargeStat.","StatMargin")</f>
        <v>MargeStat.</v>
      </c>
      <c r="G29" s="512">
        <f>IF(RIGHT(Type_fusee,1)=".",2, IF(OR(LEFT(Type_fusee,1)="R",LEFT(Type_fusee,1)=",",LEFT(Type_fusee,4)="Mini"),1.5, IF(LEFT(Type_fusee,5)="Micro",1, IF(RIGHT(Type_fusee,1)=" ",1))))</f>
        <v>2</v>
      </c>
      <c r="H29" s="97">
        <f ca="1">(XCp-XcgPlein)/D_ref</f>
        <v>2.6006408492063522</v>
      </c>
      <c r="I29" s="98">
        <f ca="1">(XCp0-XcgVide)/D_ref</f>
        <v>4.1554749843844032</v>
      </c>
      <c r="J29" s="512">
        <f>IF(RIGHT(Type_fusee,1)=".",6, IF(OR(LEFT(Type_fusee,1)="R",LEFT(Type_fusee,1)=",",LEFT(Type_fusee,4)="Mini"),6, IF(LEFT(Type_fusee,5)="Micro",3, IF(RIGHT(Type_fusee,1)=" ",3))))</f>
        <v>6</v>
      </c>
      <c r="K29" s="32"/>
      <c r="Q29" s="29"/>
      <c r="R29" s="38"/>
      <c r="S29" s="388" t="str">
        <f ca="1">IF(MS_min&lt;CritMsmin, IF(Lang="Français","Abaisser les ailerons ou rehausser le CdM !","Lower the fins or move up the center of mass!"), "" ) &amp; IF(MS_max&gt;CritMsmax, IF(Lang="Français","Rehausser les ailerons ou abaisser le CdM !","Move up the fins or lower the center of mass!"), "" )</f>
        <v/>
      </c>
    </row>
    <row r="30" spans="1:20" ht="12.75" customHeight="1" x14ac:dyDescent="0.3">
      <c r="A30" s="25"/>
      <c r="B30" s="526" t="str">
        <f>IF(Lang="Français"," Envergure     'E'",IF(Lang="English"," Span          'E'",""))</f>
        <v xml:space="preserve"> Envergure     'E'</v>
      </c>
      <c r="C30" s="35">
        <v>159</v>
      </c>
      <c r="D30" s="35">
        <v>100</v>
      </c>
      <c r="E30" s="146">
        <f>IF(D_can/2+E_can&lt;=D_ail/2,0, IF(D_can/2+E_can&gt;=D_ail/2+E_ail,E_ail,  D_can/2+E_can - D_ail/2  ) )</f>
        <v>128</v>
      </c>
      <c r="F30" s="518" t="str">
        <f>IF(Lang="Français","Couple","Torque")</f>
        <v>Couple</v>
      </c>
      <c r="G30" s="513">
        <f>IF(RIGHT(Type_fusee,1)=".",40, IF(OR(LEFT(Type_fusee,1)="R",LEFT(Type_fusee,1)=",",LEFT(Type_fusee,4)="Mini"),30, IF(LEFT(Type_fusee,5)="Micro",15, IF(RIGHT(Type_fusee,1)=" ",15))))</f>
        <v>40</v>
      </c>
      <c r="H30" s="99">
        <f ca="1">MS_min*Cn</f>
        <v>43.169167056119946</v>
      </c>
      <c r="I30" s="96">
        <f ca="1">MS_max*Cn0</f>
        <v>88.681424773952727</v>
      </c>
      <c r="J30" s="513">
        <f>IF(RIGHT(Type_fusee,1)=".",100, IF(OR(LEFT(Type_fusee,1)="R",LEFT(Type_fusee,1)=",",LEFT(Type_fusee,4)="Mini"),100, IF(LEFT(Type_fusee,5)="Micro",100, IF(RIGHT(Type_fusee,1)=" ",90))))</f>
        <v>100</v>
      </c>
      <c r="K30" s="32"/>
      <c r="Q30" s="29"/>
      <c r="R30" s="38"/>
      <c r="S30" s="388" t="str">
        <f ca="1">IF(MS_Cn_min&lt;CritMsCnmin, IF(Lang="Français","Ailerons trop petits ou trop haut /CdM !","Fins too small or too high /CoM!"), "" ) &amp; IF(MS_Cn_max&gt;CritMsCnmax, IF(Lang="Français","Ailerons trop grands ou trop bas  /CdM !","Fins too big or too low / CoM!"), "" )</f>
        <v/>
      </c>
    </row>
    <row r="31" spans="1:20" ht="12.75" customHeight="1" x14ac:dyDescent="0.3">
      <c r="A31" s="25"/>
      <c r="B31" s="527" t="str">
        <f>IF(Lang="Français"," Epaisseur     'ep'",IF(Lang="English"," Thickness  'ep'",""))</f>
        <v xml:space="preserve"> Epaisseur     'ep'</v>
      </c>
      <c r="C31" s="35">
        <v>4</v>
      </c>
      <c r="D31" s="35">
        <v>3</v>
      </c>
      <c r="E31" s="146">
        <f>ep_ail</f>
        <v>4</v>
      </c>
      <c r="F31" s="106" t="s">
        <v>58</v>
      </c>
      <c r="G31" s="103"/>
      <c r="H31" s="511">
        <f>(Cnai*XCpai+Cnc*XCpc+Cnj*XCpj+Cnr*XCpr+Cno*XCpo)/(Cnai+Cnc+Cnr+Cnj+Cno)</f>
        <v>1259.053722302812</v>
      </c>
      <c r="I31" s="511">
        <f>(Cnail*XCpa+Cnc*XCpc+Cnj*XCpj+Cnr*XCpr+Cno*XCpo)/(Cnail+Cnc+Cnr+Cnj+Cno)</f>
        <v>1338.2289101396648</v>
      </c>
      <c r="J31" s="102"/>
      <c r="K31" s="32"/>
      <c r="Q31" s="29"/>
      <c r="R31" s="38"/>
      <c r="S31" s="388"/>
    </row>
    <row r="32" spans="1:20" ht="12.75" customHeight="1" x14ac:dyDescent="0.3">
      <c r="A32" s="25"/>
      <c r="B32" s="526" t="str">
        <f>IF(Lang="Français"," Nombre            ",IF(Lang="English"," Number of fins",""))</f>
        <v xml:space="preserve"> Nombre            </v>
      </c>
      <c r="C32" s="36">
        <v>4</v>
      </c>
      <c r="D32" s="36">
        <v>4</v>
      </c>
      <c r="E32" s="146">
        <f>IF(Q_ail=Q_can,Q_ail,FALSE)</f>
        <v>4</v>
      </c>
      <c r="F32" s="106" t="s">
        <v>69</v>
      </c>
      <c r="G32" s="103"/>
      <c r="H32" s="100">
        <f ca="1">(XCp-XcgPlein)/Long_tot*100</f>
        <v>17.337605661375683</v>
      </c>
      <c r="I32" s="101">
        <f ca="1">(XCp-XcgVide)/Long_tot*100</f>
        <v>23.304545016070872</v>
      </c>
      <c r="J32" s="102"/>
      <c r="K32" s="32"/>
      <c r="Q32" s="29"/>
      <c r="R32" s="38"/>
    </row>
    <row r="33" spans="1:23" ht="12.75" customHeight="1" x14ac:dyDescent="0.3">
      <c r="A33" s="25"/>
      <c r="B33" s="526" t="str">
        <f>IF(Lang="Français"," Position du bas",IF(Lang="English"," Basement",""))</f>
        <v xml:space="preserve"> Position du bas</v>
      </c>
      <c r="C33" s="35">
        <f>Long_tot-50</f>
        <v>1750</v>
      </c>
      <c r="D33" s="35">
        <v>1000</v>
      </c>
      <c r="E33" s="146">
        <f>X_ail</f>
        <v>1750</v>
      </c>
      <c r="G33" s="24"/>
      <c r="H33" s="570" t="str">
        <f ca="1">IF(AND(CritCnmin&lt;Cn,Cn0&lt;CritCnmax,CritMsmin&lt;MS_min,MS_max&lt;CritMsmax,CritMsCnmin&lt;MS_Cn_min,MS_Cn_max&lt;CritMsCnmax),"STABLE",IF(OR(Cn&lt;CritCnmin,MS_min&lt;CritMsmin,MS_Cn_min&lt;CritMsCnmin),"INSTABLE",IF(Lang="Français","SURSTABLE","OVERSTABLE")))</f>
        <v>STABLE</v>
      </c>
      <c r="I33" s="571"/>
      <c r="J33" s="31"/>
      <c r="K33" s="32"/>
      <c r="Q33" s="29"/>
      <c r="R33" s="38"/>
    </row>
    <row r="34" spans="1:23" ht="12.75" customHeight="1" x14ac:dyDescent="0.3">
      <c r="A34" s="25"/>
      <c r="B34" s="526" t="str">
        <f>IF(Lang="Français"," Diamètre         ",IF(Lang="English"," Diameter at Fins",""))</f>
        <v xml:space="preserve"> Diamètre         </v>
      </c>
      <c r="C34" s="35">
        <v>64</v>
      </c>
      <c r="D34" s="35">
        <v>120</v>
      </c>
      <c r="E34" s="146">
        <f>D_ail</f>
        <v>64</v>
      </c>
      <c r="G34" s="24"/>
      <c r="H34" s="572"/>
      <c r="I34" s="573"/>
      <c r="K34" s="32"/>
      <c r="Q34" s="29"/>
      <c r="R34" s="38"/>
    </row>
    <row r="35" spans="1:23" ht="12.75" customHeight="1" x14ac:dyDescent="0.3">
      <c r="A35" s="25"/>
      <c r="B35" s="526" t="str">
        <f>IF(Lang="Français"," Ligne mi-corde f",IF(Lang="English"," Mid-chord line f",""))</f>
        <v xml:space="preserve"> Ligne mi-corde f</v>
      </c>
      <c r="C35" s="145">
        <f>SQRT(POWER(p_ail+n_ail/2-m_ail/2,2)+POWER(E_ail,2))</f>
        <v>209.88091861815357</v>
      </c>
      <c r="D35" s="145">
        <f>SQRT(POWER(p_can+n_can/2-m_can/2,2)+POWER(E_can,2))</f>
        <v>135.20724832641184</v>
      </c>
      <c r="E35" s="146">
        <f>SQRT(POWER(p_int+n_int/2-m_int/2,2)+POWER(E_int,2))</f>
        <v>168.96073951650098</v>
      </c>
      <c r="K35" s="32"/>
      <c r="Q35" s="29"/>
      <c r="R35" s="38"/>
      <c r="W35" s="24" t="str">
        <f>RIGHT(Type_fusee,1="R")</f>
        <v/>
      </c>
    </row>
    <row r="36" spans="1:23" ht="12.75" customHeight="1" thickBot="1" x14ac:dyDescent="0.35">
      <c r="A36" s="40"/>
      <c r="B36" s="182" t="str">
        <f>IF(Lang="Français","Commentaire libre :",IF(Lang="English","Free comment:",""))</f>
        <v>Commentaire libre :</v>
      </c>
      <c r="C36" s="41"/>
      <c r="D36" s="42"/>
      <c r="E36" s="91"/>
      <c r="F36" s="67"/>
      <c r="G36" s="67"/>
      <c r="H36" s="67"/>
      <c r="I36" s="67"/>
      <c r="J36" s="42"/>
      <c r="K36" s="42"/>
      <c r="L36" s="389" t="s">
        <v>273</v>
      </c>
      <c r="M36" s="392" t="str">
        <f>IF(ROUND(SUM(Propu!5:1218),0)=306466,"propu OK","propu NOK")</f>
        <v>propu OK</v>
      </c>
      <c r="N36" s="391" t="str">
        <f>IF(Lang="Français","fichier initial","Initial file")</f>
        <v>fichier initial</v>
      </c>
      <c r="O36" s="392"/>
      <c r="P36" s="390"/>
      <c r="Q36" s="291" t="s">
        <v>550</v>
      </c>
      <c r="R36" s="38"/>
    </row>
    <row r="37" spans="1:23" ht="12.75" customHeight="1" x14ac:dyDescent="0.3">
      <c r="R37" s="43"/>
    </row>
    <row r="38" spans="1:23" x14ac:dyDescent="0.3">
      <c r="L38" s="226" t="str">
        <f>IF(Lang="Français","Maintenant que votre fusée est stable, vérifiez sa trajectoire via la feuille","Now your rocket is stable, check its trajectory on sheet")</f>
        <v>Maintenant que votre fusée est stable, vérifiez sa trajectoire via la feuille</v>
      </c>
      <c r="M38" s="483" t="s">
        <v>183</v>
      </c>
    </row>
    <row r="39" spans="1:23" x14ac:dyDescent="0.3">
      <c r="H39" s="87"/>
      <c r="O39" s="26"/>
      <c r="P39" s="26"/>
    </row>
    <row r="40" spans="1:23" x14ac:dyDescent="0.3">
      <c r="F40" s="24"/>
      <c r="H40" s="43"/>
      <c r="I40" s="44"/>
      <c r="J40" s="43"/>
      <c r="N40" s="43"/>
      <c r="Q40" s="43"/>
      <c r="S40" s="508"/>
    </row>
    <row r="41" spans="1:23" x14ac:dyDescent="0.3">
      <c r="F41" s="24"/>
      <c r="G41" s="505"/>
      <c r="H41" s="506"/>
      <c r="I41" s="44"/>
      <c r="J41" s="43"/>
      <c r="N41" s="43"/>
      <c r="Q41" s="43"/>
      <c r="R41" s="43"/>
    </row>
    <row r="42" spans="1:23" x14ac:dyDescent="0.3">
      <c r="F42" s="24"/>
      <c r="H42" s="43"/>
      <c r="I42" s="44"/>
      <c r="J42" s="43"/>
      <c r="N42" s="43"/>
      <c r="Q42" s="43"/>
      <c r="R42" s="43"/>
    </row>
    <row r="43" spans="1:23" x14ac:dyDescent="0.3">
      <c r="F43" s="24"/>
      <c r="H43" s="43"/>
      <c r="I43" s="44"/>
      <c r="J43" s="43"/>
      <c r="N43" s="43"/>
      <c r="Q43" s="43"/>
      <c r="R43" s="43"/>
    </row>
    <row r="44" spans="1:23" x14ac:dyDescent="0.3">
      <c r="F44" s="24"/>
      <c r="H44" s="43"/>
      <c r="I44" s="44"/>
      <c r="J44" s="43"/>
      <c r="N44" s="43"/>
      <c r="Q44" s="43"/>
      <c r="R44" s="43"/>
    </row>
    <row r="45" spans="1:23" x14ac:dyDescent="0.3">
      <c r="F45" s="24"/>
      <c r="H45" s="43"/>
      <c r="I45" s="44"/>
      <c r="J45" s="43"/>
      <c r="N45" s="43"/>
      <c r="Q45" s="43"/>
      <c r="R45" s="43"/>
    </row>
    <row r="46" spans="1:23" x14ac:dyDescent="0.3">
      <c r="F46" s="24"/>
      <c r="H46" s="43"/>
      <c r="I46" s="44"/>
      <c r="J46" s="43"/>
      <c r="L46" s="43"/>
      <c r="M46" s="43"/>
      <c r="N46" s="43"/>
      <c r="Q46" s="43"/>
      <c r="R46" s="43"/>
    </row>
    <row r="47" spans="1:23" x14ac:dyDescent="0.3">
      <c r="F47" s="24"/>
      <c r="H47" s="43"/>
      <c r="I47" s="44"/>
      <c r="J47" s="43"/>
      <c r="L47" s="43"/>
      <c r="M47" s="43"/>
      <c r="N47" s="43"/>
      <c r="Q47" s="43"/>
      <c r="R47" s="43"/>
    </row>
    <row r="48" spans="1:23" x14ac:dyDescent="0.3">
      <c r="F48" s="24"/>
      <c r="H48" s="43"/>
      <c r="I48" s="44"/>
      <c r="J48" s="43"/>
      <c r="L48" s="43"/>
      <c r="M48" s="43"/>
      <c r="N48" s="43"/>
      <c r="Q48" s="43"/>
      <c r="R48" s="43"/>
    </row>
    <row r="49" spans="2:18" x14ac:dyDescent="0.3">
      <c r="F49" s="24"/>
      <c r="H49" s="43"/>
      <c r="I49" s="44"/>
      <c r="J49" s="43"/>
      <c r="L49" s="43"/>
      <c r="M49" s="43"/>
      <c r="N49" s="43"/>
      <c r="Q49" s="43"/>
      <c r="R49" s="43"/>
    </row>
    <row r="50" spans="2:18" x14ac:dyDescent="0.3">
      <c r="F50" s="24"/>
      <c r="H50" s="43"/>
      <c r="I50" s="44"/>
      <c r="J50" s="43"/>
      <c r="L50" s="43"/>
      <c r="M50" s="43"/>
      <c r="N50" s="43"/>
      <c r="Q50" s="43"/>
      <c r="R50" s="43"/>
    </row>
    <row r="51" spans="2:18" x14ac:dyDescent="0.3">
      <c r="F51" s="24"/>
      <c r="H51" s="43"/>
      <c r="I51" s="44"/>
      <c r="J51" s="43"/>
      <c r="L51" s="43"/>
      <c r="M51" s="43"/>
      <c r="N51" s="43"/>
      <c r="Q51" s="43"/>
      <c r="R51" s="43"/>
    </row>
    <row r="52" spans="2:18" x14ac:dyDescent="0.3">
      <c r="H52" s="43"/>
      <c r="I52" s="44"/>
      <c r="J52" s="43"/>
      <c r="L52" s="43"/>
      <c r="M52" s="43"/>
      <c r="N52" s="43"/>
      <c r="Q52" s="43"/>
      <c r="R52" s="43"/>
    </row>
    <row r="53" spans="2:18" x14ac:dyDescent="0.3">
      <c r="H53" s="43"/>
      <c r="I53" s="44"/>
      <c r="J53" s="43"/>
      <c r="L53" s="43"/>
      <c r="M53" s="43"/>
      <c r="N53" s="43"/>
      <c r="Q53" s="43"/>
      <c r="R53" s="43"/>
    </row>
    <row r="54" spans="2:18" x14ac:dyDescent="0.3">
      <c r="H54" s="43"/>
      <c r="I54" s="44"/>
      <c r="J54" s="43"/>
      <c r="L54" s="43"/>
      <c r="M54" s="43"/>
      <c r="N54" s="43"/>
      <c r="Q54" s="43"/>
      <c r="R54" s="43"/>
    </row>
    <row r="55" spans="2:18" x14ac:dyDescent="0.3">
      <c r="H55" s="43"/>
      <c r="I55" s="44"/>
      <c r="J55" s="43"/>
      <c r="L55" s="43"/>
      <c r="M55" s="43"/>
      <c r="N55" s="43"/>
      <c r="Q55" s="43"/>
      <c r="R55" s="43"/>
    </row>
    <row r="56" spans="2:18" x14ac:dyDescent="0.3">
      <c r="C56" s="24"/>
      <c r="H56" s="43"/>
      <c r="I56" s="44"/>
      <c r="J56" s="43"/>
      <c r="L56" s="43"/>
      <c r="M56" s="43"/>
      <c r="N56" s="43"/>
      <c r="Q56" s="43"/>
      <c r="R56" s="43"/>
    </row>
    <row r="57" spans="2:18" x14ac:dyDescent="0.3">
      <c r="H57" s="43"/>
      <c r="I57" s="44"/>
      <c r="J57" s="43"/>
      <c r="L57" s="43"/>
      <c r="M57" s="43"/>
      <c r="N57" s="43"/>
      <c r="Q57" s="43"/>
      <c r="R57" s="43"/>
    </row>
    <row r="58" spans="2:18" x14ac:dyDescent="0.3">
      <c r="B58" s="31"/>
      <c r="H58" s="43"/>
      <c r="I58" s="44"/>
      <c r="J58" s="43"/>
      <c r="L58" s="43"/>
      <c r="M58" s="43"/>
      <c r="N58" s="43"/>
      <c r="Q58" s="43"/>
      <c r="R58" s="43"/>
    </row>
    <row r="59" spans="2:18" x14ac:dyDescent="0.3">
      <c r="B59" s="31"/>
      <c r="H59" s="43"/>
      <c r="I59" s="44"/>
      <c r="J59" s="43"/>
      <c r="L59" s="43"/>
      <c r="M59" s="43"/>
      <c r="N59" s="43"/>
      <c r="Q59" s="43"/>
      <c r="R59" s="43"/>
    </row>
    <row r="60" spans="2:18" x14ac:dyDescent="0.3">
      <c r="B60" s="31"/>
      <c r="H60" s="43"/>
      <c r="I60" s="44"/>
      <c r="J60" s="43"/>
      <c r="L60" s="43"/>
      <c r="M60" s="43"/>
      <c r="N60" s="43"/>
      <c r="Q60" s="43"/>
      <c r="R60" s="43"/>
    </row>
    <row r="61" spans="2:18" x14ac:dyDescent="0.3">
      <c r="B61" s="31"/>
      <c r="H61" s="43"/>
      <c r="I61" s="44"/>
      <c r="J61" s="43"/>
      <c r="L61" s="43"/>
      <c r="M61" s="43"/>
      <c r="N61" s="43"/>
      <c r="Q61" s="43"/>
      <c r="R61" s="43"/>
    </row>
    <row r="62" spans="2:18" x14ac:dyDescent="0.3">
      <c r="B62" s="31"/>
      <c r="H62" s="43"/>
      <c r="I62" s="44"/>
      <c r="J62" s="43"/>
      <c r="L62" s="43"/>
      <c r="M62" s="43"/>
      <c r="N62" s="43"/>
      <c r="Q62" s="43"/>
      <c r="R62" s="43"/>
    </row>
    <row r="63" spans="2:18" x14ac:dyDescent="0.3">
      <c r="B63" s="31"/>
      <c r="H63" s="43"/>
      <c r="I63" s="44"/>
      <c r="J63" s="43"/>
      <c r="L63" s="43"/>
      <c r="M63" s="43"/>
      <c r="N63" s="43"/>
      <c r="Q63" s="43"/>
      <c r="R63" s="43"/>
    </row>
    <row r="64" spans="2:18" x14ac:dyDescent="0.3">
      <c r="B64" s="31"/>
      <c r="H64" s="43"/>
      <c r="I64" s="44"/>
      <c r="J64" s="43"/>
      <c r="L64" s="43"/>
      <c r="M64" s="43"/>
      <c r="N64" s="43"/>
      <c r="Q64" s="43"/>
      <c r="R64" s="43"/>
    </row>
    <row r="65" spans="2:18" x14ac:dyDescent="0.3">
      <c r="B65" s="31"/>
      <c r="H65" s="43"/>
      <c r="I65" s="44"/>
      <c r="J65" s="43"/>
      <c r="L65" s="43"/>
      <c r="M65" s="43"/>
      <c r="N65" s="43"/>
      <c r="Q65" s="43"/>
      <c r="R65" s="43"/>
    </row>
    <row r="66" spans="2:18" x14ac:dyDescent="0.3">
      <c r="B66" s="31"/>
      <c r="H66" s="43"/>
      <c r="I66" s="44"/>
      <c r="J66" s="43"/>
      <c r="L66" s="43"/>
      <c r="M66" s="43"/>
      <c r="N66" s="43"/>
      <c r="Q66" s="43"/>
      <c r="R66" s="43"/>
    </row>
    <row r="67" spans="2:18" x14ac:dyDescent="0.3">
      <c r="C67" s="24"/>
      <c r="H67" s="43"/>
      <c r="I67" s="44"/>
      <c r="J67" s="43"/>
      <c r="L67" s="43"/>
      <c r="M67" s="43"/>
      <c r="N67" s="43"/>
      <c r="Q67" s="43"/>
      <c r="R67" s="43"/>
    </row>
    <row r="68" spans="2:18" x14ac:dyDescent="0.3">
      <c r="C68" s="24"/>
      <c r="H68" s="43"/>
      <c r="I68" s="44"/>
      <c r="J68" s="43"/>
      <c r="L68" s="43"/>
      <c r="M68" s="43"/>
      <c r="N68" s="43"/>
      <c r="Q68" s="43"/>
      <c r="R68" s="43"/>
    </row>
    <row r="69" spans="2:18" x14ac:dyDescent="0.3">
      <c r="C69" s="24"/>
      <c r="H69" s="43"/>
      <c r="I69" s="44"/>
      <c r="J69" s="43"/>
      <c r="L69" s="43"/>
      <c r="M69" s="43"/>
      <c r="N69" s="43"/>
      <c r="Q69" s="43"/>
      <c r="R69" s="43"/>
    </row>
    <row r="70" spans="2:18" x14ac:dyDescent="0.3">
      <c r="C70" s="24"/>
      <c r="H70" s="43"/>
      <c r="I70" s="44"/>
      <c r="J70" s="43"/>
      <c r="L70" s="43"/>
      <c r="M70" s="43"/>
      <c r="N70" s="43"/>
      <c r="Q70" s="43"/>
      <c r="R70" s="43"/>
    </row>
    <row r="71" spans="2:18" x14ac:dyDescent="0.3">
      <c r="C71" s="24"/>
      <c r="H71" s="43"/>
      <c r="I71" s="44"/>
      <c r="J71" s="43"/>
      <c r="L71" s="43"/>
      <c r="M71" s="43"/>
      <c r="N71" s="43"/>
      <c r="Q71" s="43"/>
      <c r="R71" s="43"/>
    </row>
    <row r="72" spans="2:18" x14ac:dyDescent="0.3">
      <c r="C72" s="24"/>
      <c r="H72" s="43"/>
      <c r="I72" s="44"/>
      <c r="J72" s="43"/>
      <c r="L72" s="43"/>
      <c r="M72" s="43"/>
      <c r="N72" s="43"/>
      <c r="Q72" s="43"/>
      <c r="R72" s="43"/>
    </row>
    <row r="73" spans="2:18" x14ac:dyDescent="0.3">
      <c r="C73" s="24"/>
      <c r="H73" s="43"/>
      <c r="I73" s="44"/>
      <c r="J73" s="43"/>
      <c r="L73" s="43"/>
      <c r="M73" s="43"/>
      <c r="N73" s="43"/>
      <c r="Q73" s="43"/>
      <c r="R73" s="43"/>
    </row>
    <row r="74" spans="2:18" x14ac:dyDescent="0.3">
      <c r="C74" s="24"/>
      <c r="H74" s="43"/>
      <c r="I74" s="44"/>
      <c r="J74" s="43"/>
      <c r="L74" s="43"/>
      <c r="M74" s="43"/>
      <c r="N74" s="43"/>
      <c r="Q74" s="43"/>
      <c r="R74" s="43"/>
    </row>
    <row r="75" spans="2:18" x14ac:dyDescent="0.3">
      <c r="C75" s="24"/>
      <c r="H75" s="43"/>
      <c r="I75" s="44"/>
      <c r="J75" s="43"/>
      <c r="L75" s="43"/>
      <c r="M75" s="43"/>
      <c r="N75" s="43"/>
      <c r="Q75" s="43"/>
      <c r="R75" s="43"/>
    </row>
    <row r="76" spans="2:18" x14ac:dyDescent="0.3">
      <c r="C76" s="24"/>
      <c r="H76" s="43"/>
      <c r="I76" s="44"/>
      <c r="J76" s="43"/>
      <c r="L76" s="43"/>
      <c r="M76" s="43"/>
      <c r="N76" s="43"/>
      <c r="Q76" s="43"/>
      <c r="R76" s="43"/>
    </row>
    <row r="77" spans="2:18" x14ac:dyDescent="0.3">
      <c r="C77" s="24"/>
      <c r="H77" s="43"/>
      <c r="I77" s="44"/>
      <c r="J77" s="43"/>
      <c r="L77" s="43"/>
      <c r="M77" s="43"/>
      <c r="N77" s="43"/>
      <c r="Q77" s="43"/>
      <c r="R77" s="43"/>
    </row>
    <row r="78" spans="2:18" x14ac:dyDescent="0.3">
      <c r="C78" s="24"/>
      <c r="H78" s="43"/>
      <c r="I78" s="44"/>
      <c r="J78" s="43"/>
      <c r="L78" s="43"/>
      <c r="M78" s="43"/>
      <c r="N78" s="43"/>
      <c r="Q78" s="43"/>
      <c r="R78" s="43"/>
    </row>
    <row r="79" spans="2:18" x14ac:dyDescent="0.3">
      <c r="C79" s="24"/>
      <c r="H79" s="43"/>
      <c r="I79" s="44"/>
      <c r="J79" s="43"/>
      <c r="L79" s="43"/>
      <c r="M79" s="43"/>
      <c r="N79" s="43"/>
      <c r="Q79" s="43"/>
      <c r="R79" s="43"/>
    </row>
    <row r="80" spans="2:18" x14ac:dyDescent="0.3">
      <c r="C80" s="24"/>
      <c r="H80" s="43"/>
      <c r="I80" s="44"/>
      <c r="J80" s="43"/>
      <c r="L80" s="43"/>
      <c r="M80" s="43"/>
      <c r="N80" s="43"/>
      <c r="Q80" s="43"/>
      <c r="R80" s="43"/>
    </row>
    <row r="81" spans="2:18" x14ac:dyDescent="0.3">
      <c r="C81" s="24"/>
      <c r="H81" s="43"/>
      <c r="I81" s="44"/>
      <c r="J81" s="43"/>
      <c r="L81" s="43"/>
      <c r="M81" s="43"/>
      <c r="N81" s="43"/>
      <c r="Q81" s="43"/>
      <c r="R81" s="43"/>
    </row>
    <row r="82" spans="2:18" x14ac:dyDescent="0.3">
      <c r="C82" s="24"/>
      <c r="H82" s="43"/>
      <c r="I82" s="44"/>
      <c r="J82" s="43"/>
      <c r="L82" s="43"/>
      <c r="M82" s="43"/>
      <c r="N82" s="43"/>
      <c r="Q82" s="43"/>
      <c r="R82" s="43"/>
    </row>
    <row r="83" spans="2:18" x14ac:dyDescent="0.3">
      <c r="C83" s="24"/>
      <c r="H83" s="43"/>
      <c r="I83" s="44"/>
      <c r="J83" s="43"/>
      <c r="L83" s="43"/>
      <c r="M83" s="43"/>
      <c r="N83" s="43"/>
      <c r="Q83" s="43"/>
      <c r="R83" s="43"/>
    </row>
    <row r="84" spans="2:18" x14ac:dyDescent="0.3">
      <c r="C84" s="24"/>
      <c r="H84" s="43"/>
      <c r="I84" s="44"/>
      <c r="J84" s="43"/>
      <c r="L84" s="43"/>
      <c r="M84" s="43"/>
      <c r="N84" s="43"/>
      <c r="Q84" s="43"/>
      <c r="R84" s="43"/>
    </row>
    <row r="85" spans="2:18" x14ac:dyDescent="0.3">
      <c r="C85" s="24"/>
      <c r="H85" s="43"/>
      <c r="I85" s="44"/>
      <c r="J85" s="43"/>
      <c r="L85" s="43"/>
      <c r="M85" s="43"/>
      <c r="N85" s="43"/>
      <c r="Q85" s="43"/>
      <c r="R85" s="43"/>
    </row>
    <row r="86" spans="2:18" x14ac:dyDescent="0.3">
      <c r="C86" s="24"/>
      <c r="H86" s="43"/>
      <c r="I86" s="44"/>
      <c r="J86" s="43"/>
      <c r="L86" s="43"/>
      <c r="M86" s="43"/>
      <c r="N86" s="43"/>
      <c r="Q86" s="43"/>
      <c r="R86" s="43"/>
    </row>
    <row r="87" spans="2:18" x14ac:dyDescent="0.3">
      <c r="C87" s="24"/>
      <c r="H87" s="43"/>
      <c r="I87" s="44"/>
      <c r="J87" s="43"/>
      <c r="L87" s="43"/>
      <c r="M87" s="43"/>
      <c r="N87" s="43"/>
      <c r="Q87" s="43"/>
      <c r="R87" s="43"/>
    </row>
    <row r="88" spans="2:18" x14ac:dyDescent="0.3">
      <c r="C88" s="24"/>
      <c r="H88" s="43"/>
      <c r="I88" s="44"/>
      <c r="J88" s="43"/>
      <c r="L88" s="43"/>
      <c r="M88" s="43"/>
      <c r="N88" s="43"/>
      <c r="Q88" s="43"/>
      <c r="R88" s="43"/>
    </row>
    <row r="89" spans="2:18" x14ac:dyDescent="0.3">
      <c r="C89" s="24"/>
      <c r="H89" s="43"/>
      <c r="I89" s="44"/>
      <c r="J89" s="43"/>
      <c r="L89" s="43"/>
      <c r="M89" s="43"/>
      <c r="N89" s="43"/>
      <c r="Q89" s="43"/>
      <c r="R89" s="43"/>
    </row>
    <row r="90" spans="2:18" x14ac:dyDescent="0.3">
      <c r="C90" s="24"/>
      <c r="H90" s="43"/>
      <c r="I90" s="44"/>
      <c r="J90" s="43"/>
      <c r="L90" s="43"/>
      <c r="M90" s="43"/>
      <c r="N90" s="43"/>
      <c r="Q90" s="43"/>
      <c r="R90" s="43"/>
    </row>
    <row r="91" spans="2:18" x14ac:dyDescent="0.3">
      <c r="B91" s="24" t="str">
        <f>IF(Lang="Français","Textes pour les listes déroulantes et graphiques :",IF(Lang="English","Texts for drop-down lists &amp; graphics :",""))</f>
        <v>Textes pour les listes déroulantes et graphiques :</v>
      </c>
      <c r="H91" s="43"/>
      <c r="I91" s="44"/>
      <c r="J91" s="43"/>
      <c r="L91" s="43"/>
      <c r="M91" s="43"/>
      <c r="N91" s="43"/>
      <c r="Q91" s="43"/>
      <c r="R91" s="43"/>
    </row>
    <row r="92" spans="2:18" x14ac:dyDescent="0.3">
      <c r="H92" s="43"/>
      <c r="I92" s="44"/>
      <c r="J92" s="43"/>
      <c r="L92" s="43"/>
      <c r="M92" s="43"/>
      <c r="N92" s="43"/>
      <c r="Q92" s="43"/>
      <c r="R92" s="43"/>
    </row>
    <row r="93" spans="2:18" x14ac:dyDescent="0.3">
      <c r="B93" s="26" t="s">
        <v>1</v>
      </c>
      <c r="H93" s="43"/>
      <c r="I93" s="44"/>
      <c r="J93" s="43"/>
      <c r="L93" s="43"/>
      <c r="M93" s="43"/>
      <c r="N93" s="43"/>
      <c r="Q93" s="43"/>
      <c r="R93" s="43"/>
    </row>
    <row r="94" spans="2:18" x14ac:dyDescent="0.3">
      <c r="B94" s="26" t="s">
        <v>70</v>
      </c>
      <c r="H94" s="43"/>
      <c r="I94" s="44"/>
      <c r="J94" s="43"/>
      <c r="L94" s="43"/>
      <c r="M94" s="43"/>
      <c r="N94" s="43"/>
      <c r="Q94" s="43"/>
      <c r="R94" s="43"/>
    </row>
    <row r="95" spans="2:18" x14ac:dyDescent="0.3">
      <c r="B95" s="26"/>
      <c r="H95" s="43"/>
      <c r="I95" s="44"/>
      <c r="J95" s="43"/>
      <c r="L95" s="43"/>
      <c r="M95" s="43"/>
      <c r="N95" s="43"/>
      <c r="Q95" s="43"/>
      <c r="R95" s="43"/>
    </row>
    <row r="96" spans="2:18" x14ac:dyDescent="0.3">
      <c r="B96" s="26" t="str">
        <f>IF(Lang="Français","Fusée à eau  ",IF(Lang="English","Water-rocket  ",""))</f>
        <v xml:space="preserve">Fusée à eau  </v>
      </c>
      <c r="H96" s="43"/>
      <c r="I96" s="44"/>
      <c r="J96" s="43"/>
      <c r="L96" s="43"/>
      <c r="M96" s="43"/>
      <c r="N96" s="43"/>
      <c r="Q96" s="43"/>
      <c r="R96" s="43"/>
    </row>
    <row r="97" spans="2:18" x14ac:dyDescent="0.3">
      <c r="B97" s="26" t="str">
        <f>IF(Lang="Français","Microfusée",IF(Lang="English","Micro-rocket",""))</f>
        <v>Microfusée</v>
      </c>
      <c r="H97" s="43"/>
      <c r="I97" s="44"/>
      <c r="J97" s="43"/>
      <c r="L97" s="43"/>
      <c r="M97" s="43"/>
      <c r="N97" s="43"/>
      <c r="Q97" s="43"/>
      <c r="R97" s="43"/>
    </row>
    <row r="98" spans="2:18" x14ac:dyDescent="0.3">
      <c r="B98" s="26" t="str">
        <f>IF(Lang="Français","Minifusée",IF(Lang="English","Mini-rocket",""))</f>
        <v>Minifusée</v>
      </c>
      <c r="H98" s="43"/>
      <c r="I98" s="44"/>
      <c r="J98" s="43"/>
      <c r="L98" s="43"/>
      <c r="M98" s="43"/>
      <c r="N98" s="43"/>
      <c r="Q98" s="43"/>
      <c r="R98" s="43"/>
    </row>
    <row r="99" spans="2:18" x14ac:dyDescent="0.3">
      <c r="B99" s="26" t="s">
        <v>401</v>
      </c>
      <c r="H99" s="43"/>
      <c r="I99" s="44"/>
      <c r="J99" s="43"/>
      <c r="L99" s="43"/>
      <c r="M99" s="43"/>
      <c r="N99" s="43"/>
      <c r="Q99" s="43"/>
      <c r="R99" s="43"/>
    </row>
    <row r="100" spans="2:18" x14ac:dyDescent="0.3">
      <c r="B100" s="26" t="str">
        <f>IF(Lang="Français","Fusée expérimentale.",IF(Lang="English","Experimental Rocket.",""))</f>
        <v>Fusée expérimentale.</v>
      </c>
      <c r="H100" s="43"/>
      <c r="I100" s="44"/>
      <c r="J100" s="43"/>
      <c r="L100" s="43"/>
      <c r="M100" s="43"/>
      <c r="N100" s="43"/>
      <c r="Q100" s="43"/>
      <c r="R100" s="43"/>
    </row>
    <row r="101" spans="2:18" x14ac:dyDescent="0.3">
      <c r="B101" s="26" t="s">
        <v>402</v>
      </c>
      <c r="H101" s="43"/>
      <c r="I101" s="44"/>
      <c r="J101" s="43"/>
      <c r="L101" s="43"/>
      <c r="M101" s="43"/>
      <c r="N101" s="43"/>
      <c r="Q101" s="43"/>
      <c r="R101" s="43"/>
    </row>
    <row r="102" spans="2:18" x14ac:dyDescent="0.3">
      <c r="B102" s="26"/>
      <c r="H102" s="43"/>
      <c r="I102" s="44"/>
      <c r="J102" s="43"/>
      <c r="L102" s="43"/>
      <c r="M102" s="43"/>
      <c r="N102" s="43"/>
      <c r="Q102" s="43"/>
      <c r="R102" s="43"/>
    </row>
    <row r="103" spans="2:18" x14ac:dyDescent="0.3">
      <c r="B103" s="26" t="str">
        <f>IF(Lang="Français","sans propu",IF(Lang="English","without motor",""))</f>
        <v>sans propu</v>
      </c>
      <c r="H103" s="43"/>
      <c r="I103" s="44"/>
      <c r="J103" s="43"/>
      <c r="L103" s="43"/>
      <c r="M103" s="43"/>
      <c r="N103" s="43"/>
      <c r="Q103" s="43"/>
      <c r="R103" s="43"/>
    </row>
    <row r="104" spans="2:18" x14ac:dyDescent="0.3">
      <c r="B104" s="26" t="str">
        <f>IF(Lang="Français","avec propu vide",IF(Lang="English","with empty motor",""))</f>
        <v>avec propu vide</v>
      </c>
      <c r="H104" s="43"/>
      <c r="I104" s="44"/>
      <c r="J104" s="43"/>
      <c r="L104" s="43"/>
      <c r="M104" s="43"/>
      <c r="N104" s="43"/>
      <c r="Q104" s="43"/>
      <c r="R104" s="43"/>
    </row>
    <row r="105" spans="2:18" x14ac:dyDescent="0.3">
      <c r="B105" s="26" t="str">
        <f>IF(Lang="Français","avec propu plein",IF(Lang="English","with loaded motor",""))</f>
        <v>avec propu plein</v>
      </c>
      <c r="H105" s="43"/>
      <c r="I105" s="44"/>
      <c r="J105" s="43"/>
      <c r="L105" s="43"/>
      <c r="M105" s="43"/>
      <c r="N105" s="43"/>
      <c r="Q105" s="43"/>
      <c r="R105" s="43"/>
    </row>
    <row r="106" spans="2:18" x14ac:dyDescent="0.3">
      <c r="B106" s="26"/>
      <c r="H106" s="43"/>
      <c r="I106" s="44"/>
      <c r="J106" s="43"/>
      <c r="L106" s="43"/>
      <c r="M106" s="43"/>
      <c r="N106" s="43"/>
      <c r="Q106" s="43"/>
      <c r="R106" s="43"/>
    </row>
    <row r="107" spans="2:18" x14ac:dyDescent="0.3">
      <c r="B107" s="26" t="str">
        <f>IF(Lang="Français","Parabolique (arrondie)",IF(Lang="English","Parabola (rounded)",""))</f>
        <v>Parabolique (arrondie)</v>
      </c>
      <c r="H107" s="43"/>
      <c r="I107" s="44"/>
      <c r="J107" s="43"/>
      <c r="L107" s="43"/>
      <c r="M107" s="43"/>
      <c r="N107" s="43"/>
      <c r="Q107" s="43"/>
      <c r="R107" s="43"/>
    </row>
    <row r="108" spans="2:18" x14ac:dyDescent="0.3">
      <c r="B108" s="26" t="str">
        <f>IF(Lang="Français","Ogivale (pointue)",IF(Lang="English","Ogive (sharp)",""))</f>
        <v>Ogivale (pointue)</v>
      </c>
      <c r="H108" s="43"/>
      <c r="I108" s="44"/>
      <c r="J108" s="43"/>
      <c r="L108" s="43"/>
      <c r="M108" s="43"/>
      <c r="N108" s="43"/>
      <c r="Q108" s="43"/>
      <c r="R108" s="43"/>
    </row>
    <row r="109" spans="2:18" x14ac:dyDescent="0.3">
      <c r="B109" s="26" t="str">
        <f>IF(Lang="Français","Conique (droite)",IF(Lang="English","Cone (straight)",""))</f>
        <v>Conique (droite)</v>
      </c>
      <c r="H109" s="43"/>
      <c r="I109" s="44"/>
      <c r="J109" s="43"/>
      <c r="L109" s="43"/>
      <c r="M109" s="43"/>
      <c r="N109" s="43"/>
      <c r="Q109" s="43"/>
      <c r="R109" s="43"/>
    </row>
    <row r="110" spans="2:18" x14ac:dyDescent="0.3">
      <c r="B110" s="38"/>
      <c r="H110" s="43"/>
      <c r="I110" s="44"/>
      <c r="J110" s="43"/>
      <c r="L110" s="43"/>
      <c r="M110" s="43"/>
      <c r="N110" s="43"/>
      <c r="Q110" s="43"/>
      <c r="R110" s="43"/>
    </row>
    <row r="111" spans="2:18" x14ac:dyDescent="0.3">
      <c r="B111" s="38" t="s">
        <v>428</v>
      </c>
      <c r="H111" s="43"/>
      <c r="I111" s="44"/>
      <c r="J111" s="43"/>
      <c r="L111" s="43"/>
      <c r="M111" s="43"/>
      <c r="N111" s="43"/>
      <c r="Q111" s="43"/>
      <c r="R111" s="43"/>
    </row>
    <row r="112" spans="2:18" x14ac:dyDescent="0.3">
      <c r="B112" s="38" t="s">
        <v>429</v>
      </c>
      <c r="H112" s="43"/>
      <c r="I112" s="44"/>
      <c r="J112" s="43"/>
      <c r="L112" s="43"/>
      <c r="M112" s="43"/>
      <c r="N112" s="43"/>
      <c r="Q112" s="43"/>
      <c r="R112" s="43"/>
    </row>
    <row r="113" spans="2:18" x14ac:dyDescent="0.3">
      <c r="B113" s="38"/>
      <c r="H113" s="43"/>
      <c r="I113" s="44"/>
      <c r="J113" s="43"/>
      <c r="L113" s="43"/>
      <c r="M113" s="43"/>
      <c r="N113" s="43"/>
      <c r="Q113" s="43"/>
      <c r="R113" s="43"/>
    </row>
    <row r="114" spans="2:18" x14ac:dyDescent="0.3">
      <c r="B114" s="38" t="str">
        <f>IF(Lang="Français","Fusée mono-diamètre,",IF(Lang="English","Mono-diameter rocket,",""))</f>
        <v>Fusée mono-diamètre,</v>
      </c>
      <c r="H114" s="43"/>
      <c r="I114" s="44"/>
      <c r="J114" s="43"/>
      <c r="L114" s="43"/>
      <c r="M114" s="43"/>
      <c r="N114" s="43"/>
      <c r="Q114" s="43"/>
      <c r="R114" s="43"/>
    </row>
    <row r="115" spans="2:18" x14ac:dyDescent="0.3">
      <c r="B115" s="38" t="str">
        <f>IF(Lang="Français","Plusieurs diamètres.",IF(Lang="English","Many diameters rocket.",""))</f>
        <v>Plusieurs diamètres.</v>
      </c>
      <c r="H115" s="43"/>
      <c r="I115" s="44"/>
      <c r="J115" s="43"/>
      <c r="L115" s="43"/>
      <c r="M115" s="43"/>
      <c r="N115" s="43"/>
      <c r="Q115" s="43"/>
      <c r="R115" s="43"/>
    </row>
    <row r="116" spans="2:18" x14ac:dyDescent="0.3">
      <c r="B116" s="38"/>
      <c r="H116" s="43"/>
      <c r="I116" s="44"/>
      <c r="J116" s="43"/>
      <c r="L116" s="43"/>
      <c r="M116" s="43"/>
      <c r="N116" s="43"/>
      <c r="Q116" s="43"/>
      <c r="R116" s="43"/>
    </row>
    <row r="117" spans="2:18" x14ac:dyDescent="0.3">
      <c r="B117" s="223" t="str">
        <f>IF(Lang="Français","Diagramme des critères de stabilité","Stability criterions diagram")</f>
        <v>Diagramme des critères de stabilité</v>
      </c>
      <c r="H117" s="43"/>
      <c r="I117" s="44"/>
      <c r="J117" s="43"/>
      <c r="L117" s="43"/>
      <c r="M117" s="43"/>
      <c r="N117" s="43"/>
      <c r="Q117" s="43"/>
      <c r="R117" s="43"/>
    </row>
    <row r="118" spans="2:18" x14ac:dyDescent="0.3">
      <c r="B118" s="223" t="str">
        <f>IF(Lang="Français","Marge Statique (MS)","Static Margin")</f>
        <v>Marge Statique (MS)</v>
      </c>
      <c r="H118" s="43"/>
      <c r="I118" s="44"/>
      <c r="J118" s="43"/>
      <c r="L118" s="43"/>
      <c r="M118" s="43"/>
      <c r="N118" s="43"/>
      <c r="Q118" s="43"/>
      <c r="R118" s="43"/>
    </row>
    <row r="119" spans="2:18" x14ac:dyDescent="0.3">
      <c r="B119" s="223" t="str">
        <f>IF(Lang="Français","Portance Cnα","Lift Cnα")</f>
        <v>Portance Cnα</v>
      </c>
      <c r="H119" s="43"/>
      <c r="I119" s="44"/>
      <c r="J119" s="43"/>
      <c r="L119" s="43"/>
      <c r="M119" s="43"/>
      <c r="N119" s="43"/>
      <c r="Q119" s="43"/>
      <c r="R119" s="43"/>
    </row>
    <row r="120" spans="2:18" x14ac:dyDescent="0.3">
      <c r="B120" s="38"/>
      <c r="H120" s="43"/>
      <c r="I120" s="44"/>
      <c r="J120" s="43"/>
      <c r="L120" s="43"/>
      <c r="M120" s="43"/>
      <c r="N120" s="43"/>
      <c r="Q120" s="43"/>
      <c r="R120" s="43"/>
    </row>
    <row r="121" spans="2:18" x14ac:dyDescent="0.3">
      <c r="B121" s="24" t="str">
        <f>IF(Lang="Français","Données pour les graphiques :",IF(Lang="English","Data for plots:",""))</f>
        <v>Données pour les graphiques :</v>
      </c>
      <c r="H121" s="43"/>
      <c r="I121" s="44"/>
      <c r="J121" s="43"/>
      <c r="L121" s="43"/>
      <c r="M121" s="43"/>
      <c r="N121" s="43"/>
      <c r="Q121" s="43"/>
      <c r="R121" s="43"/>
    </row>
    <row r="122" spans="2:18" x14ac:dyDescent="0.3">
      <c r="H122" s="43"/>
      <c r="I122" s="44"/>
      <c r="J122" s="43"/>
      <c r="L122" s="43"/>
      <c r="M122" s="43"/>
      <c r="N122" s="43"/>
      <c r="Q122" s="43"/>
      <c r="R122" s="43"/>
    </row>
    <row r="123" spans="2:18" x14ac:dyDescent="0.3">
      <c r="B123" s="45"/>
      <c r="C123" s="45" t="s">
        <v>71</v>
      </c>
      <c r="D123" s="45" t="s">
        <v>72</v>
      </c>
      <c r="E123" s="92" t="s">
        <v>73</v>
      </c>
      <c r="K123" s="45"/>
      <c r="R123" s="43"/>
    </row>
    <row r="124" spans="2:18" x14ac:dyDescent="0.3">
      <c r="B124" s="45" t="s">
        <v>75</v>
      </c>
      <c r="C124" s="46">
        <f>-Long_ogive</f>
        <v>-280</v>
      </c>
      <c r="D124" s="46">
        <v>0</v>
      </c>
      <c r="E124" s="93">
        <f t="shared" ref="E124:E136" si="0">-D124</f>
        <v>0</v>
      </c>
      <c r="K124" s="46"/>
    </row>
    <row r="125" spans="2:18" x14ac:dyDescent="0.3">
      <c r="B125" s="45" t="s">
        <v>75</v>
      </c>
      <c r="C125" s="46">
        <f>-Long_ogive</f>
        <v>-280</v>
      </c>
      <c r="D125" s="46">
        <f>D_og/2</f>
        <v>32</v>
      </c>
      <c r="E125" s="93">
        <f t="shared" si="0"/>
        <v>-32</v>
      </c>
      <c r="K125" s="46"/>
    </row>
    <row r="126" spans="2:18" x14ac:dyDescent="0.3">
      <c r="B126" s="45" t="s">
        <v>76</v>
      </c>
      <c r="C126" s="46">
        <f>IF(AND(RIGHT(Nb_diam,1)=".",X_j), -X_j, C125 )</f>
        <v>-900</v>
      </c>
      <c r="D126" s="46">
        <f>IF(AND(RIGHT(Nb_diam,1)=".",X_j), D1j/2, D125 )</f>
        <v>32</v>
      </c>
      <c r="E126" s="93">
        <f t="shared" si="0"/>
        <v>-32</v>
      </c>
      <c r="K126" s="46"/>
    </row>
    <row r="127" spans="2:18" x14ac:dyDescent="0.3">
      <c r="B127" s="45" t="s">
        <v>77</v>
      </c>
      <c r="C127" s="46">
        <f>IF(AND(RIGHT(Nb_diam,1)=".",X_j), -X_j-l_j, C126 )</f>
        <v>-1050</v>
      </c>
      <c r="D127" s="46">
        <f>IF(AND(RIGHT(Nb_diam,1)=".",X_j), D2j/2, D126 )</f>
        <v>60</v>
      </c>
      <c r="E127" s="93">
        <f t="shared" si="0"/>
        <v>-60</v>
      </c>
      <c r="K127" s="46"/>
    </row>
    <row r="128" spans="2:18" x14ac:dyDescent="0.3">
      <c r="B128" s="45" t="s">
        <v>78</v>
      </c>
      <c r="C128" s="46">
        <f>IF(AND(RIGHT(Nb_diam,1)=".",X_r), -X_r, C127 )</f>
        <v>-1750</v>
      </c>
      <c r="D128" s="46">
        <f>IF(AND(RIGHT(Nb_diam,1)=".",X_r), D1r/2, D127 )</f>
        <v>60</v>
      </c>
      <c r="E128" s="93">
        <f t="shared" si="0"/>
        <v>-60</v>
      </c>
      <c r="K128" s="46"/>
    </row>
    <row r="129" spans="2:11" x14ac:dyDescent="0.3">
      <c r="B129" s="45" t="s">
        <v>79</v>
      </c>
      <c r="C129" s="46">
        <f>IF(AND(RIGHT(Nb_diam,1)=".",X_r), -X_r-l_r, C128 )</f>
        <v>-1800</v>
      </c>
      <c r="D129" s="46">
        <f>IF(AND(RIGHT(Nb_diam,1)=".",X_r), D2r/2, D128 )</f>
        <v>60</v>
      </c>
      <c r="E129" s="93">
        <f t="shared" si="0"/>
        <v>-60</v>
      </c>
      <c r="K129" s="46"/>
    </row>
    <row r="130" spans="2:11" x14ac:dyDescent="0.3">
      <c r="B130" s="45" t="s">
        <v>80</v>
      </c>
      <c r="C130" s="46">
        <f>-Long_tot</f>
        <v>-1800</v>
      </c>
      <c r="D130" s="46">
        <f>D129</f>
        <v>60</v>
      </c>
      <c r="E130" s="93">
        <f t="shared" si="0"/>
        <v>-60</v>
      </c>
      <c r="K130" s="46"/>
    </row>
    <row r="131" spans="2:11" x14ac:dyDescent="0.3">
      <c r="B131" s="45" t="s">
        <v>80</v>
      </c>
      <c r="C131" s="46">
        <f>-Long_tot</f>
        <v>-1800</v>
      </c>
      <c r="D131" s="46">
        <v>0</v>
      </c>
      <c r="E131" s="93">
        <f t="shared" si="0"/>
        <v>0</v>
      </c>
      <c r="K131" s="46"/>
    </row>
    <row r="132" spans="2:11" x14ac:dyDescent="0.3">
      <c r="B132" s="183" t="s">
        <v>81</v>
      </c>
      <c r="C132" s="197">
        <f>-X_ail+m_ail</f>
        <v>-1486</v>
      </c>
      <c r="D132" s="197">
        <f>D_ail/2</f>
        <v>32</v>
      </c>
      <c r="E132" s="198">
        <f t="shared" si="0"/>
        <v>-32</v>
      </c>
      <c r="K132" s="46"/>
    </row>
    <row r="133" spans="2:11" x14ac:dyDescent="0.3">
      <c r="B133" s="185" t="s">
        <v>82</v>
      </c>
      <c r="C133" s="46">
        <f>-X_ail+m_ail-p_ail</f>
        <v>-1700</v>
      </c>
      <c r="D133" s="46">
        <f>D_ail/2+E_ail</f>
        <v>191</v>
      </c>
      <c r="E133" s="199">
        <f t="shared" si="0"/>
        <v>-191</v>
      </c>
      <c r="K133" s="46"/>
    </row>
    <row r="134" spans="2:11" x14ac:dyDescent="0.3">
      <c r="B134" s="185" t="s">
        <v>83</v>
      </c>
      <c r="C134" s="46">
        <f>-X_ail+m_ail-p_ail-n_ail</f>
        <v>-1810</v>
      </c>
      <c r="D134" s="46">
        <f>D_ail/2+E_ail</f>
        <v>191</v>
      </c>
      <c r="E134" s="199">
        <f t="shared" si="0"/>
        <v>-191</v>
      </c>
      <c r="K134" s="46"/>
    </row>
    <row r="135" spans="2:11" x14ac:dyDescent="0.3">
      <c r="B135" s="185" t="s">
        <v>84</v>
      </c>
      <c r="C135" s="46">
        <f>-X_ail</f>
        <v>-1750</v>
      </c>
      <c r="D135" s="46">
        <f>D_ail/2</f>
        <v>32</v>
      </c>
      <c r="E135" s="199">
        <f t="shared" si="0"/>
        <v>-32</v>
      </c>
      <c r="K135" s="46"/>
    </row>
    <row r="136" spans="2:11" x14ac:dyDescent="0.3">
      <c r="B136" s="187" t="s">
        <v>81</v>
      </c>
      <c r="C136" s="200">
        <f>-X_ail+m_ail</f>
        <v>-1486</v>
      </c>
      <c r="D136" s="200">
        <f>D_ail/2</f>
        <v>32</v>
      </c>
      <c r="E136" s="201">
        <f t="shared" si="0"/>
        <v>-32</v>
      </c>
      <c r="K136" s="46"/>
    </row>
    <row r="137" spans="2:11" x14ac:dyDescent="0.3">
      <c r="B137" s="192" t="str">
        <f>IF(E_ail&gt;0,IF(Lang="Français","Envergure","Span"),"")</f>
        <v>Envergure</v>
      </c>
      <c r="C137" s="197">
        <f>MIN(-X_ail,-X_ail+m_ail-p_ail-n_ail)-Long_tot/30</f>
        <v>-1870</v>
      </c>
      <c r="D137" s="207">
        <f>-D_ail/2-E_ail</f>
        <v>-191</v>
      </c>
      <c r="E137" s="93"/>
      <c r="K137" s="46"/>
    </row>
    <row r="138" spans="2:11" x14ac:dyDescent="0.3">
      <c r="B138" s="195" t="s">
        <v>169</v>
      </c>
      <c r="C138" s="46">
        <f>MIN(-X_ail,-X_ail+m_ail-p_ail-n_ail)-Long_tot/30</f>
        <v>-1870</v>
      </c>
      <c r="D138" s="208">
        <f>-D_ail/2-E_ail/2</f>
        <v>-111.5</v>
      </c>
      <c r="E138" s="93"/>
      <c r="K138" s="46"/>
    </row>
    <row r="139" spans="2:11" x14ac:dyDescent="0.3">
      <c r="B139" s="212" t="s">
        <v>165</v>
      </c>
      <c r="C139" s="200">
        <f>MIN(-X_ail,-X_ail+m_ail-p_ail-n_ail)-Long_tot/30</f>
        <v>-1870</v>
      </c>
      <c r="D139" s="209">
        <f>-D_ail/2</f>
        <v>-32</v>
      </c>
      <c r="E139" s="93"/>
      <c r="K139" s="46"/>
    </row>
    <row r="140" spans="2:11" x14ac:dyDescent="0.3">
      <c r="B140" s="192" t="str">
        <f>IF(Lang="Français","Emplanture","Root edge")</f>
        <v>Emplanture</v>
      </c>
      <c r="C140" s="197">
        <f>-X_ail+m_ail</f>
        <v>-1486</v>
      </c>
      <c r="D140" s="207">
        <f>D_ail/2+E_ail+Long_tot/20</f>
        <v>281</v>
      </c>
      <c r="E140" s="93"/>
      <c r="K140" s="46"/>
    </row>
    <row r="141" spans="2:11" x14ac:dyDescent="0.3">
      <c r="B141" s="195" t="s">
        <v>171</v>
      </c>
      <c r="C141" s="46">
        <f>-X_ail+m_ail/2</f>
        <v>-1618</v>
      </c>
      <c r="D141" s="208">
        <f>D_ail/2+E_ail+Long_tot/20</f>
        <v>281</v>
      </c>
      <c r="E141" s="93"/>
      <c r="K141" s="46"/>
    </row>
    <row r="142" spans="2:11" x14ac:dyDescent="0.3">
      <c r="B142" s="212" t="s">
        <v>172</v>
      </c>
      <c r="C142" s="200">
        <f>-X_ail</f>
        <v>-1750</v>
      </c>
      <c r="D142" s="209">
        <f>D_ail/2+E_ail+Long_tot/20</f>
        <v>281</v>
      </c>
      <c r="E142" s="93"/>
      <c r="K142" s="46"/>
    </row>
    <row r="143" spans="2:11" x14ac:dyDescent="0.3">
      <c r="B143" s="192" t="str">
        <f>IF(p_ail&lt;&gt;0,IF(Lang="Français","Flèche","Offset"),"")</f>
        <v>Flèche</v>
      </c>
      <c r="C143" s="197">
        <f>-X_ail+m_ail</f>
        <v>-1486</v>
      </c>
      <c r="D143" s="207">
        <f>-D_ail/2-E_ail-Long_tot/30</f>
        <v>-251</v>
      </c>
      <c r="E143" s="93"/>
      <c r="K143" s="46"/>
    </row>
    <row r="144" spans="2:11" x14ac:dyDescent="0.3">
      <c r="B144" s="195" t="s">
        <v>168</v>
      </c>
      <c r="C144" s="46">
        <f>-X_ail+m_ail-p_ail/2</f>
        <v>-1593</v>
      </c>
      <c r="D144" s="208">
        <f>-D_ail/2-E_ail-Long_tot/30</f>
        <v>-251</v>
      </c>
      <c r="E144" s="93"/>
      <c r="K144" s="46"/>
    </row>
    <row r="145" spans="2:11" x14ac:dyDescent="0.3">
      <c r="B145" s="212" t="s">
        <v>166</v>
      </c>
      <c r="C145" s="200">
        <f>-X_ail+m_ail-p_ail</f>
        <v>-1700</v>
      </c>
      <c r="D145" s="209">
        <f>-D_ail/2-E_ail-Long_tot/30</f>
        <v>-251</v>
      </c>
      <c r="E145" s="93"/>
      <c r="K145" s="46"/>
    </row>
    <row r="146" spans="2:11" x14ac:dyDescent="0.3">
      <c r="B146" s="192" t="str">
        <f>IF(n_ail&gt;0,IF(Lang="Français","Saumon","Tip edge"),"")</f>
        <v>Saumon</v>
      </c>
      <c r="C146" s="197">
        <f>-X_ail+m_ail-p_ail</f>
        <v>-1700</v>
      </c>
      <c r="D146" s="207">
        <f>-D_ail/2-E_ail-Long_tot/20</f>
        <v>-281</v>
      </c>
      <c r="E146" s="93"/>
      <c r="K146" s="46"/>
    </row>
    <row r="147" spans="2:11" x14ac:dyDescent="0.3">
      <c r="B147" s="195" t="s">
        <v>170</v>
      </c>
      <c r="C147" s="46">
        <f>-X_ail+m_ail-p_ail-n_ail/2</f>
        <v>-1755</v>
      </c>
      <c r="D147" s="208">
        <f>-D_ail/2-E_ail-Long_tot/20</f>
        <v>-281</v>
      </c>
      <c r="E147" s="93"/>
      <c r="K147" s="46"/>
    </row>
    <row r="148" spans="2:11" x14ac:dyDescent="0.3">
      <c r="B148" s="212" t="s">
        <v>167</v>
      </c>
      <c r="C148" s="200">
        <f>-X_ail+m_ail-p_ail-n_ail</f>
        <v>-1810</v>
      </c>
      <c r="D148" s="209">
        <f>-D_ail/2-E_ail-Long_tot/20</f>
        <v>-281</v>
      </c>
      <c r="E148" s="93"/>
      <c r="K148" s="46"/>
    </row>
    <row r="149" spans="2:11" x14ac:dyDescent="0.3">
      <c r="B149" s="183" t="s">
        <v>85</v>
      </c>
      <c r="C149" s="197">
        <f ca="1">-XcgPlein</f>
        <v>-946.97682039804977</v>
      </c>
      <c r="D149" s="207">
        <v>0</v>
      </c>
      <c r="E149" s="93"/>
      <c r="K149" s="46"/>
    </row>
    <row r="150" spans="2:11" x14ac:dyDescent="0.3">
      <c r="B150" s="187" t="s">
        <v>86</v>
      </c>
      <c r="C150" s="200">
        <f ca="1">-XcgVide</f>
        <v>-839.57191201353635</v>
      </c>
      <c r="D150" s="209">
        <v>0</v>
      </c>
      <c r="E150" s="93"/>
      <c r="K150" s="46"/>
    </row>
    <row r="151" spans="2:11" x14ac:dyDescent="0.3">
      <c r="B151" s="183" t="s">
        <v>87</v>
      </c>
      <c r="C151" s="197">
        <f>-XCp</f>
        <v>-1259.053722302812</v>
      </c>
      <c r="D151" s="207">
        <v>0</v>
      </c>
      <c r="E151" s="93"/>
      <c r="K151" s="46"/>
    </row>
    <row r="152" spans="2:11" x14ac:dyDescent="0.3">
      <c r="B152" s="187" t="s">
        <v>87</v>
      </c>
      <c r="C152" s="200">
        <f>-XCp</f>
        <v>-1259.053722302812</v>
      </c>
      <c r="D152" s="209">
        <f>Cn*D_ref/CritCnmin</f>
        <v>132.79547483627061</v>
      </c>
      <c r="E152" s="93"/>
      <c r="K152" s="46"/>
    </row>
    <row r="153" spans="2:11" x14ac:dyDescent="0.3">
      <c r="B153" s="185" t="s">
        <v>426</v>
      </c>
      <c r="C153" s="46">
        <f>-XCp0</f>
        <v>-1338.2289101396648</v>
      </c>
      <c r="D153" s="208">
        <f>Cn0*D_ref/CritCnmin</f>
        <v>170.7269086825512</v>
      </c>
      <c r="E153" s="93"/>
      <c r="K153" s="46"/>
    </row>
    <row r="154" spans="2:11" x14ac:dyDescent="0.3">
      <c r="B154" s="185" t="s">
        <v>426</v>
      </c>
      <c r="C154" s="46">
        <f>-XCp0</f>
        <v>-1338.2289101396648</v>
      </c>
      <c r="D154" s="208">
        <v>0</v>
      </c>
      <c r="E154" s="93"/>
      <c r="K154" s="46"/>
    </row>
    <row r="155" spans="2:11" x14ac:dyDescent="0.3">
      <c r="B155" s="192" t="str">
        <f>IF(n_ail&gt;0,IF(Lang="Français","Marge Statique","Static Margin"),"")</f>
        <v>Marge Statique</v>
      </c>
      <c r="C155" s="197">
        <f ca="1">(-XcgPlein-XcgVide)/2</f>
        <v>-893.27436620579306</v>
      </c>
      <c r="D155" s="207">
        <f>-D_ail/2-E_ail-Long_tot/20</f>
        <v>-281</v>
      </c>
      <c r="E155" s="93"/>
      <c r="K155" s="46"/>
    </row>
    <row r="156" spans="2:11" x14ac:dyDescent="0.3">
      <c r="B156" s="195" t="s">
        <v>173</v>
      </c>
      <c r="C156" s="46">
        <f ca="1">(C155+C157)/2</f>
        <v>-1076.1640442543026</v>
      </c>
      <c r="D156" s="208">
        <f>-D_ail/2-E_ail-Long_tot/20</f>
        <v>-281</v>
      </c>
      <c r="E156" s="93"/>
      <c r="K156" s="46"/>
    </row>
    <row r="157" spans="2:11" x14ac:dyDescent="0.3">
      <c r="B157" s="212" t="s">
        <v>174</v>
      </c>
      <c r="C157" s="200">
        <f>-XCp</f>
        <v>-1259.053722302812</v>
      </c>
      <c r="D157" s="209">
        <f>-D_ail/2-E_ail-Long_tot/20</f>
        <v>-281</v>
      </c>
      <c r="E157" s="93"/>
      <c r="K157" s="46"/>
    </row>
    <row r="158" spans="2:11" x14ac:dyDescent="0.3">
      <c r="B158" s="183" t="s">
        <v>88</v>
      </c>
      <c r="C158" s="197">
        <f>IF(LEFT(Type_masquage,1)="M",0,-X_can+m_can)</f>
        <v>-822</v>
      </c>
      <c r="D158" s="197">
        <f>IF(LEFT(Type_masquage,1)="M",0,D_ail/2)</f>
        <v>32</v>
      </c>
      <c r="E158" s="198">
        <f t="shared" ref="E158:E167" si="1">-D158</f>
        <v>-32</v>
      </c>
      <c r="K158" s="46"/>
    </row>
    <row r="159" spans="2:11" x14ac:dyDescent="0.3">
      <c r="B159" s="185" t="s">
        <v>89</v>
      </c>
      <c r="C159" s="46">
        <f>IF(LEFT(Type_masquage,1)="M",0,-X_can+m_can-p_can)</f>
        <v>-962</v>
      </c>
      <c r="D159" s="46">
        <f>IF(LEFT(Type_masquage,1)="M",0,D_ail/2+E_can)</f>
        <v>132</v>
      </c>
      <c r="E159" s="199">
        <f t="shared" si="1"/>
        <v>-132</v>
      </c>
      <c r="K159" s="46"/>
    </row>
    <row r="160" spans="2:11" x14ac:dyDescent="0.3">
      <c r="B160" s="185" t="s">
        <v>90</v>
      </c>
      <c r="C160" s="46">
        <f>IF(LEFT(Type_masquage,1)="M",0,-X_can+m_can-p_can-n_can)</f>
        <v>-1042</v>
      </c>
      <c r="D160" s="46">
        <f>IF(LEFT(Type_masquage,1)="M",0,D_ail/2+E_can)</f>
        <v>132</v>
      </c>
      <c r="E160" s="199">
        <f t="shared" si="1"/>
        <v>-132</v>
      </c>
      <c r="K160" s="46"/>
    </row>
    <row r="161" spans="2:11" x14ac:dyDescent="0.3">
      <c r="B161" s="185" t="s">
        <v>91</v>
      </c>
      <c r="C161" s="46">
        <f>IF(LEFT(Type_masquage,1)="M",0,-X_can)</f>
        <v>-1000</v>
      </c>
      <c r="D161" s="46">
        <f>IF(LEFT(Type_masquage,1)="M",0,D_ail/2)</f>
        <v>32</v>
      </c>
      <c r="E161" s="199">
        <f t="shared" si="1"/>
        <v>-32</v>
      </c>
      <c r="K161" s="46"/>
    </row>
    <row r="162" spans="2:11" x14ac:dyDescent="0.3">
      <c r="B162" s="187" t="s">
        <v>88</v>
      </c>
      <c r="C162" s="200">
        <f>IF(LEFT(Type_masquage,1)="M",0,-X_can+m_can)</f>
        <v>-822</v>
      </c>
      <c r="D162" s="200">
        <f>IF(LEFT(Type_masquage,1)="M",0,D_ail/2)</f>
        <v>32</v>
      </c>
      <c r="E162" s="201">
        <f t="shared" si="1"/>
        <v>-32</v>
      </c>
      <c r="K162" s="46"/>
    </row>
    <row r="163" spans="2:11" x14ac:dyDescent="0.3">
      <c r="B163" s="183" t="s">
        <v>92</v>
      </c>
      <c r="C163" s="197">
        <f>IF(LEFT(Type_masquage,1)="B",-X_int+m_int,0)</f>
        <v>-1486</v>
      </c>
      <c r="D163" s="197">
        <f>IF(LEFT(Type_masquage,1)="B",D_int/2,0)</f>
        <v>32</v>
      </c>
      <c r="E163" s="198">
        <f t="shared" si="1"/>
        <v>-32</v>
      </c>
      <c r="K163" s="46"/>
    </row>
    <row r="164" spans="2:11" x14ac:dyDescent="0.3">
      <c r="B164" s="185" t="s">
        <v>93</v>
      </c>
      <c r="C164" s="46">
        <f>IF(LEFT(Type_masquage,1)="B",-X_int+m_int-p_int,0)</f>
        <v>-1658.2767295597484</v>
      </c>
      <c r="D164" s="46">
        <f>IF(LEFT(Type_masquage,1)="B",D_int/2+E_int,0)</f>
        <v>160</v>
      </c>
      <c r="E164" s="199">
        <f t="shared" si="1"/>
        <v>-160</v>
      </c>
      <c r="K164" s="46"/>
    </row>
    <row r="165" spans="2:11" x14ac:dyDescent="0.3">
      <c r="B165" s="185" t="s">
        <v>94</v>
      </c>
      <c r="C165" s="46">
        <f>IF(LEFT(Type_masquage,1)="B",-X_int+m_int-p_int-n_int,0)</f>
        <v>-1798.3018867924529</v>
      </c>
      <c r="D165" s="46">
        <f>IF(LEFT(Type_masquage,1)="B",D_int/2+E_int,0)</f>
        <v>160</v>
      </c>
      <c r="E165" s="199">
        <f t="shared" si="1"/>
        <v>-160</v>
      </c>
      <c r="K165" s="46"/>
    </row>
    <row r="166" spans="2:11" x14ac:dyDescent="0.3">
      <c r="B166" s="185" t="s">
        <v>95</v>
      </c>
      <c r="C166" s="46">
        <f>IF(LEFT(Type_masquage,1)="B",-X_int,0)</f>
        <v>-1750</v>
      </c>
      <c r="D166" s="46">
        <f>IF(LEFT(Type_masquage,1)="B",D_int/2,0)</f>
        <v>32</v>
      </c>
      <c r="E166" s="199">
        <f t="shared" si="1"/>
        <v>-32</v>
      </c>
      <c r="K166" s="46"/>
    </row>
    <row r="167" spans="2:11" x14ac:dyDescent="0.3">
      <c r="B167" s="187" t="s">
        <v>92</v>
      </c>
      <c r="C167" s="200">
        <f>IF(LEFT(Type_masquage,1)="B",-X_int+m_int,0)</f>
        <v>-1486</v>
      </c>
      <c r="D167" s="200">
        <f>IF(LEFT(Type_masquage,1)="B",D_int/2,0)</f>
        <v>32</v>
      </c>
      <c r="E167" s="201">
        <f t="shared" si="1"/>
        <v>-32</v>
      </c>
      <c r="K167" s="46"/>
    </row>
    <row r="168" spans="2:11" x14ac:dyDescent="0.3">
      <c r="B168" s="45" t="s">
        <v>96</v>
      </c>
      <c r="C168" s="46">
        <f>-MAX(Long_tot, X_ail-m_ail+p_ail+n_ail, (E_ail+D_ail/2)*3.2)*1.01</f>
        <v>-1828.1</v>
      </c>
      <c r="D168" s="46">
        <f>MAX(E_ail+D_ail/2, Long_tot/3)</f>
        <v>600</v>
      </c>
      <c r="E168" s="93"/>
      <c r="K168" s="46"/>
    </row>
    <row r="169" spans="2:11" x14ac:dyDescent="0.3">
      <c r="B169" s="45" t="s">
        <v>96</v>
      </c>
      <c r="C169" s="46">
        <f>C168</f>
        <v>-1828.1</v>
      </c>
      <c r="D169" s="46">
        <f>-D168</f>
        <v>-600</v>
      </c>
      <c r="E169" s="93"/>
      <c r="K169" s="46"/>
    </row>
    <row r="170" spans="2:11" x14ac:dyDescent="0.3">
      <c r="B170" s="183" t="s">
        <v>97</v>
      </c>
      <c r="C170" s="197">
        <f ca="1">-XpropuRef+Long_propu</f>
        <v>-1314</v>
      </c>
      <c r="D170" s="207">
        <f ca="1">-Diam_propu/2</f>
        <v>-37.5</v>
      </c>
      <c r="E170" s="93"/>
      <c r="K170" s="46"/>
    </row>
    <row r="171" spans="2:11" x14ac:dyDescent="0.3">
      <c r="B171" s="185" t="s">
        <v>98</v>
      </c>
      <c r="C171" s="46">
        <f ca="1">-XpropuRef+Long_propu</f>
        <v>-1314</v>
      </c>
      <c r="D171" s="208">
        <f ca="1">Diam_propu/2</f>
        <v>37.5</v>
      </c>
      <c r="E171" s="93"/>
      <c r="K171" s="46"/>
    </row>
    <row r="172" spans="2:11" x14ac:dyDescent="0.3">
      <c r="B172" s="185" t="s">
        <v>99</v>
      </c>
      <c r="C172" s="46">
        <f>-XpropuRef</f>
        <v>-1800</v>
      </c>
      <c r="D172" s="208">
        <f ca="1">Diam_propu/2</f>
        <v>37.5</v>
      </c>
      <c r="E172" s="93"/>
      <c r="K172" s="46"/>
    </row>
    <row r="173" spans="2:11" x14ac:dyDescent="0.3">
      <c r="B173" s="185" t="s">
        <v>100</v>
      </c>
      <c r="C173" s="46">
        <f>-XpropuRef</f>
        <v>-1800</v>
      </c>
      <c r="D173" s="208">
        <f ca="1">-Diam_propu/2</f>
        <v>-37.5</v>
      </c>
      <c r="E173" s="93"/>
      <c r="K173" s="46"/>
    </row>
    <row r="174" spans="2:11" x14ac:dyDescent="0.3">
      <c r="B174" s="187" t="s">
        <v>101</v>
      </c>
      <c r="C174" s="200">
        <f ca="1">-XpropuRef+Long_propu</f>
        <v>-1314</v>
      </c>
      <c r="D174" s="209">
        <f ca="1">-Diam_propu/2</f>
        <v>-37.5</v>
      </c>
      <c r="E174" s="93"/>
      <c r="F174" s="192" t="s">
        <v>162</v>
      </c>
      <c r="G174" s="193" t="s">
        <v>163</v>
      </c>
      <c r="H174" s="194" t="s">
        <v>164</v>
      </c>
      <c r="K174" s="46"/>
    </row>
    <row r="175" spans="2:11" x14ac:dyDescent="0.3">
      <c r="B175" s="183" t="s">
        <v>74</v>
      </c>
      <c r="C175" s="197">
        <v>0</v>
      </c>
      <c r="D175" s="197">
        <v>0</v>
      </c>
      <c r="E175" s="198">
        <f t="shared" ref="E175:E180" si="2">-D175</f>
        <v>0</v>
      </c>
      <c r="F175" s="195">
        <v>0</v>
      </c>
      <c r="G175" s="45">
        <v>0</v>
      </c>
      <c r="H175" s="189">
        <v>0</v>
      </c>
      <c r="K175" s="46"/>
    </row>
    <row r="176" spans="2:11" x14ac:dyDescent="0.3">
      <c r="B176" s="185" t="s">
        <v>75</v>
      </c>
      <c r="C176" s="46">
        <f>-Long_ogive*0.1</f>
        <v>-28</v>
      </c>
      <c r="D176" s="46">
        <f>IF(LEFT(Forme_ogive,5)="Parab",H176,IF(LEFT(Forme_ogive,4)="Ogiv",G176,IF(LEFT(Forme_ogive,3)="Con",F176)))</f>
        <v>3.2</v>
      </c>
      <c r="E176" s="199">
        <f t="shared" si="2"/>
        <v>-3.2</v>
      </c>
      <c r="F176" s="185">
        <f>D_og/2*0.1</f>
        <v>3.2</v>
      </c>
      <c r="G176" s="45">
        <f>D_og/2*0.2</f>
        <v>6.4</v>
      </c>
      <c r="H176" s="189">
        <f>D_og/2*0.5</f>
        <v>16</v>
      </c>
      <c r="K176" s="46"/>
    </row>
    <row r="177" spans="2:11" x14ac:dyDescent="0.3">
      <c r="B177" s="185" t="s">
        <v>75</v>
      </c>
      <c r="C177" s="46">
        <f>-Long_ogive/4</f>
        <v>-70</v>
      </c>
      <c r="D177" s="46">
        <f>IF(LEFT(Forme_ogive,5)="Parab",H177,IF(LEFT(Forme_ogive,4)="Ogiv",G177,IF(LEFT(Forme_ogive,3)="Con",F177)))</f>
        <v>8</v>
      </c>
      <c r="E177" s="199">
        <f t="shared" si="2"/>
        <v>-8</v>
      </c>
      <c r="F177" s="185">
        <f>D_og/2*1/4</f>
        <v>8</v>
      </c>
      <c r="G177" s="45">
        <f>D_og/2/2</f>
        <v>16</v>
      </c>
      <c r="H177" s="189">
        <f>D_og/2*0.7</f>
        <v>22.4</v>
      </c>
      <c r="K177" s="46"/>
    </row>
    <row r="178" spans="2:11" x14ac:dyDescent="0.3">
      <c r="B178" s="185" t="s">
        <v>75</v>
      </c>
      <c r="C178" s="46">
        <f>-Long_ogive/2</f>
        <v>-140</v>
      </c>
      <c r="D178" s="46">
        <f>IF(LEFT(Forme_ogive,5)="Parab",H178,IF(LEFT(Forme_ogive,4)="Ogiv",G178,IF(LEFT(Forme_ogive,3)="Con",F178)))</f>
        <v>16</v>
      </c>
      <c r="E178" s="199">
        <f t="shared" si="2"/>
        <v>-16</v>
      </c>
      <c r="F178" s="185">
        <f>D_og/2/2</f>
        <v>16</v>
      </c>
      <c r="G178" s="45">
        <f>D_og/2*3/4</f>
        <v>24</v>
      </c>
      <c r="H178" s="189">
        <f>D_og/2*0.88</f>
        <v>28.16</v>
      </c>
      <c r="K178" s="46"/>
    </row>
    <row r="179" spans="2:11" x14ac:dyDescent="0.3">
      <c r="B179" s="185" t="s">
        <v>75</v>
      </c>
      <c r="C179" s="46">
        <f>-Long_ogive*3/4</f>
        <v>-210</v>
      </c>
      <c r="D179" s="46">
        <f>IF(LEFT(Forme_ogive,5)="Parab",H179,IF(LEFT(Forme_ogive,4)="Ogiv",G179,IF(LEFT(Forme_ogive,3)="Con",F179)))</f>
        <v>24</v>
      </c>
      <c r="E179" s="199">
        <f t="shared" si="2"/>
        <v>-24</v>
      </c>
      <c r="F179" s="185">
        <f>D_og/2*3/4</f>
        <v>24</v>
      </c>
      <c r="G179" s="45">
        <f>D_og/2*0.9</f>
        <v>28.8</v>
      </c>
      <c r="H179" s="189">
        <f>D_og/2*0.95</f>
        <v>30.4</v>
      </c>
      <c r="K179" s="46"/>
    </row>
    <row r="180" spans="2:11" x14ac:dyDescent="0.3">
      <c r="B180" s="187" t="s">
        <v>75</v>
      </c>
      <c r="C180" s="200">
        <f>-Long_ogive</f>
        <v>-280</v>
      </c>
      <c r="D180" s="200">
        <f>D_og/2</f>
        <v>32</v>
      </c>
      <c r="E180" s="201">
        <f t="shared" si="2"/>
        <v>-32</v>
      </c>
      <c r="F180" s="187">
        <f>D_og/2</f>
        <v>32</v>
      </c>
      <c r="G180" s="196">
        <f>D_og/2</f>
        <v>32</v>
      </c>
      <c r="H180" s="190">
        <f>D_og/2</f>
        <v>32</v>
      </c>
      <c r="K180" s="26"/>
    </row>
    <row r="181" spans="2:11" x14ac:dyDescent="0.3">
      <c r="B181" s="45" t="s">
        <v>102</v>
      </c>
      <c r="C181" s="45" t="s">
        <v>103</v>
      </c>
      <c r="D181" s="183" t="s">
        <v>102</v>
      </c>
      <c r="E181" s="204" t="s">
        <v>103</v>
      </c>
      <c r="K181" s="45"/>
    </row>
    <row r="182" spans="2:11" x14ac:dyDescent="0.3">
      <c r="B182" s="183">
        <v>0</v>
      </c>
      <c r="C182" s="202">
        <f>CritCnmin</f>
        <v>15</v>
      </c>
      <c r="D182" s="185">
        <v>0.5</v>
      </c>
      <c r="E182" s="205">
        <f t="shared" ref="E182:E187" si="3">CritMsCnmin/D182</f>
        <v>80</v>
      </c>
      <c r="K182" s="45"/>
    </row>
    <row r="183" spans="2:11" x14ac:dyDescent="0.3">
      <c r="B183" s="187">
        <v>7</v>
      </c>
      <c r="C183" s="196">
        <f>CritCnmin</f>
        <v>15</v>
      </c>
      <c r="D183" s="185">
        <v>1</v>
      </c>
      <c r="E183" s="205">
        <f t="shared" si="3"/>
        <v>40</v>
      </c>
      <c r="K183" s="45"/>
    </row>
    <row r="184" spans="2:11" x14ac:dyDescent="0.3">
      <c r="B184" s="183">
        <v>0</v>
      </c>
      <c r="C184" s="202">
        <f>CritCnmax</f>
        <v>40</v>
      </c>
      <c r="D184" s="185">
        <v>2</v>
      </c>
      <c r="E184" s="205">
        <f t="shared" si="3"/>
        <v>20</v>
      </c>
      <c r="K184" s="45"/>
    </row>
    <row r="185" spans="2:11" x14ac:dyDescent="0.3">
      <c r="B185" s="187">
        <v>7</v>
      </c>
      <c r="C185" s="196">
        <f>CritCnmax</f>
        <v>40</v>
      </c>
      <c r="D185" s="185">
        <v>3</v>
      </c>
      <c r="E185" s="205">
        <f t="shared" si="3"/>
        <v>13.333333333333334</v>
      </c>
      <c r="K185" s="45"/>
    </row>
    <row r="186" spans="2:11" x14ac:dyDescent="0.3">
      <c r="B186" s="183">
        <f>CritMsmin</f>
        <v>2</v>
      </c>
      <c r="C186" s="202">
        <v>0</v>
      </c>
      <c r="D186" s="185">
        <v>5</v>
      </c>
      <c r="E186" s="205">
        <f t="shared" si="3"/>
        <v>8</v>
      </c>
      <c r="K186" s="45"/>
    </row>
    <row r="187" spans="2:11" x14ac:dyDescent="0.3">
      <c r="B187" s="187">
        <f>CritMsmin</f>
        <v>2</v>
      </c>
      <c r="C187" s="196">
        <v>55</v>
      </c>
      <c r="D187" s="185">
        <v>7</v>
      </c>
      <c r="E187" s="205">
        <f t="shared" si="3"/>
        <v>5.7142857142857144</v>
      </c>
      <c r="K187" s="45"/>
    </row>
    <row r="188" spans="2:11" x14ac:dyDescent="0.3">
      <c r="B188" s="183">
        <f>CritMsmax</f>
        <v>6</v>
      </c>
      <c r="C188" s="202">
        <v>0</v>
      </c>
      <c r="D188" s="185">
        <v>1</v>
      </c>
      <c r="E188" s="205">
        <f t="shared" ref="E188:E193" si="4">CritMsCnmax/D188</f>
        <v>100</v>
      </c>
      <c r="K188" s="45"/>
    </row>
    <row r="189" spans="2:11" x14ac:dyDescent="0.3">
      <c r="B189" s="187">
        <f>CritMsmax</f>
        <v>6</v>
      </c>
      <c r="C189" s="196">
        <v>55</v>
      </c>
      <c r="D189" s="185">
        <v>2</v>
      </c>
      <c r="E189" s="205">
        <f t="shared" si="4"/>
        <v>50</v>
      </c>
      <c r="K189" s="45"/>
    </row>
    <row r="190" spans="2:11" x14ac:dyDescent="0.3">
      <c r="B190" s="191">
        <f ca="1">MS_min</f>
        <v>2.6006408492063522</v>
      </c>
      <c r="C190" s="203">
        <f>Cn</f>
        <v>16.599434354533827</v>
      </c>
      <c r="D190" s="185">
        <v>3</v>
      </c>
      <c r="E190" s="205">
        <f t="shared" si="4"/>
        <v>33.333333333333336</v>
      </c>
      <c r="K190" s="45"/>
    </row>
    <row r="191" spans="2:11" x14ac:dyDescent="0.3">
      <c r="B191" s="514">
        <f ca="1">(XCp0-XcgPlein)/D_ref</f>
        <v>3.2604340811801249</v>
      </c>
      <c r="C191" s="515">
        <f>Cn0</f>
        <v>21.3408635853189</v>
      </c>
      <c r="D191" s="185">
        <v>4</v>
      </c>
      <c r="E191" s="205">
        <f t="shared" si="4"/>
        <v>25</v>
      </c>
      <c r="K191" s="45"/>
    </row>
    <row r="192" spans="2:11" x14ac:dyDescent="0.3">
      <c r="B192" s="514">
        <f ca="1">(XCp0-XcgVide)/D_ref</f>
        <v>4.1554749843844032</v>
      </c>
      <c r="C192" s="515">
        <f>Cn0</f>
        <v>21.3408635853189</v>
      </c>
      <c r="D192" s="185">
        <v>6</v>
      </c>
      <c r="E192" s="205">
        <f t="shared" si="4"/>
        <v>16.666666666666668</v>
      </c>
      <c r="K192" s="45"/>
    </row>
    <row r="193" spans="2:11" x14ac:dyDescent="0.3">
      <c r="B193" s="514">
        <f ca="1">(XCp-XcgVide)/D_ref</f>
        <v>3.4956817524106309</v>
      </c>
      <c r="C193" s="515">
        <f>Cn</f>
        <v>16.599434354533827</v>
      </c>
      <c r="D193" s="187">
        <v>7</v>
      </c>
      <c r="E193" s="206">
        <f t="shared" si="4"/>
        <v>14.285714285714286</v>
      </c>
      <c r="K193" s="45"/>
    </row>
    <row r="194" spans="2:11" x14ac:dyDescent="0.3">
      <c r="B194" s="514">
        <f ca="1">MS_min</f>
        <v>2.6006408492063522</v>
      </c>
      <c r="C194" s="516">
        <f>Cn</f>
        <v>16.599434354533827</v>
      </c>
      <c r="D194" s="45"/>
      <c r="E194" s="92"/>
      <c r="K194" s="45"/>
    </row>
    <row r="195" spans="2:11" x14ac:dyDescent="0.3">
      <c r="B195" s="183">
        <v>0</v>
      </c>
      <c r="C195" s="202">
        <f>(CritCnmin+CritCnmax)/2</f>
        <v>27.5</v>
      </c>
      <c r="D195" s="26"/>
      <c r="E195" s="90"/>
      <c r="K195" s="26"/>
    </row>
    <row r="196" spans="2:11" x14ac:dyDescent="0.3">
      <c r="B196" s="185">
        <f>MAX(CritMsmin,CritMsCnmin/C196)</f>
        <v>2</v>
      </c>
      <c r="C196" s="45">
        <f>(CritCnmin+CritCnmax)/2</f>
        <v>27.5</v>
      </c>
      <c r="D196" s="26"/>
      <c r="E196" s="90"/>
      <c r="K196" s="26"/>
    </row>
    <row r="197" spans="2:11" x14ac:dyDescent="0.3">
      <c r="B197" s="185">
        <f>MIN(CritMsmax,CritMsCnmax/C197)</f>
        <v>3.6363636363636362</v>
      </c>
      <c r="C197" s="189">
        <f>(CritCnmin+CritCnmax)/2</f>
        <v>27.5</v>
      </c>
    </row>
    <row r="198" spans="2:11" x14ac:dyDescent="0.3">
      <c r="B198" s="187">
        <v>7</v>
      </c>
      <c r="C198" s="190">
        <f>(CritCnmin+CritCnmax)/2</f>
        <v>27.5</v>
      </c>
    </row>
    <row r="199" spans="2:11" x14ac:dyDescent="0.3">
      <c r="B199" s="183">
        <f>(CritMsmin+CritMsmax)/2</f>
        <v>4</v>
      </c>
      <c r="C199" s="184">
        <v>0</v>
      </c>
    </row>
    <row r="200" spans="2:11" x14ac:dyDescent="0.3">
      <c r="B200" s="185">
        <f>(CritMsmin+CritMsmax)/2</f>
        <v>4</v>
      </c>
      <c r="C200" s="186">
        <f>MAX(CritCnmin,CritMsCnmin/B200)</f>
        <v>15</v>
      </c>
    </row>
    <row r="201" spans="2:11" x14ac:dyDescent="0.3">
      <c r="B201" s="185">
        <f>(CritMsmin+CritMsmax)/2</f>
        <v>4</v>
      </c>
      <c r="C201" s="186">
        <f>MIN(CritCnmax,CritMsCnmax/B201)</f>
        <v>25</v>
      </c>
    </row>
    <row r="202" spans="2:11" x14ac:dyDescent="0.3">
      <c r="B202" s="187">
        <f>(CritMsmin+CritMsmax)/2</f>
        <v>4</v>
      </c>
      <c r="C202" s="188">
        <v>55</v>
      </c>
    </row>
    <row r="203" spans="2:11" x14ac:dyDescent="0.3">
      <c r="D203" s="475"/>
    </row>
    <row r="204" spans="2:11" x14ac:dyDescent="0.3">
      <c r="B204" s="477" t="s">
        <v>409</v>
      </c>
      <c r="C204" s="31" t="b">
        <f ca="1">(OR(C205:C210))</f>
        <v>1</v>
      </c>
      <c r="D204" s="475"/>
    </row>
    <row r="205" spans="2:11" x14ac:dyDescent="0.3">
      <c r="B205" s="476" t="s">
        <v>406</v>
      </c>
      <c r="C205" s="475" t="b">
        <f ca="1">AND(Type_propu="H2O",RIGHT(Type_fusee,1)=" ")</f>
        <v>0</v>
      </c>
      <c r="D205" s="475"/>
    </row>
    <row r="206" spans="2:11" x14ac:dyDescent="0.3">
      <c r="B206" s="476" t="s">
        <v>121</v>
      </c>
      <c r="C206" s="475" t="b">
        <f ca="1">AND(Type_propu="Fusex",RIGHT(Type_fusee,1)=".")</f>
        <v>1</v>
      </c>
      <c r="D206" s="475"/>
    </row>
    <row r="207" spans="2:11" x14ac:dyDescent="0.3">
      <c r="B207" s="476" t="s">
        <v>407</v>
      </c>
      <c r="C207" s="475" t="b">
        <f ca="1">LEFT(Type_propu,5)=LEFT(Type_fusee,5)</f>
        <v>0</v>
      </c>
      <c r="D207" s="475"/>
    </row>
    <row r="208" spans="2:11" x14ac:dyDescent="0.3">
      <c r="B208" s="476" t="s">
        <v>408</v>
      </c>
      <c r="C208" s="475" t="b">
        <f ca="1">AND(RIGHT(Type_propu,1)="N",LEFT(Type_fusee,4)="Mini")</f>
        <v>0</v>
      </c>
      <c r="D208" s="475"/>
    </row>
    <row r="209" spans="1:3" x14ac:dyDescent="0.3">
      <c r="B209" s="476" t="s">
        <v>410</v>
      </c>
      <c r="C209" s="475" t="b">
        <f ca="1">AND(LEFT(Type_propu,5)="MiniR",LEFT(Type_fusee,1)="R")</f>
        <v>0</v>
      </c>
    </row>
    <row r="210" spans="1:3" x14ac:dyDescent="0.3">
      <c r="B210" s="476" t="s">
        <v>400</v>
      </c>
      <c r="C210" s="475" t="b">
        <f ca="1">AND(LEFT(Type_propu,4)="Mini",LEFT(Type_fusee,1)=",")</f>
        <v>0</v>
      </c>
    </row>
    <row r="223" spans="1:3" x14ac:dyDescent="0.3">
      <c r="A223" s="24" t="s">
        <v>467</v>
      </c>
    </row>
    <row r="226" spans="1:1" x14ac:dyDescent="0.3">
      <c r="A226" s="24" t="s">
        <v>480</v>
      </c>
    </row>
    <row r="228" spans="1:1" x14ac:dyDescent="0.3">
      <c r="A228" s="24" t="s">
        <v>481</v>
      </c>
    </row>
    <row r="230" spans="1:1" x14ac:dyDescent="0.3">
      <c r="A230" s="24" t="s">
        <v>482</v>
      </c>
    </row>
    <row r="232" spans="1:1" x14ac:dyDescent="0.3">
      <c r="A232" s="24" t="s">
        <v>483</v>
      </c>
    </row>
    <row r="233" spans="1:1" x14ac:dyDescent="0.3">
      <c r="A233" s="24" t="s">
        <v>484</v>
      </c>
    </row>
    <row r="234" spans="1:1" x14ac:dyDescent="0.3">
      <c r="A234" s="24" t="s">
        <v>485</v>
      </c>
    </row>
    <row r="235" spans="1:1" x14ac:dyDescent="0.3">
      <c r="A235" s="24" t="s">
        <v>486</v>
      </c>
    </row>
    <row r="236" spans="1:1" x14ac:dyDescent="0.3">
      <c r="A236" s="24" t="s">
        <v>487</v>
      </c>
    </row>
    <row r="237" spans="1:1" x14ac:dyDescent="0.3">
      <c r="A237" s="24" t="s">
        <v>488</v>
      </c>
    </row>
    <row r="238" spans="1:1" x14ac:dyDescent="0.3">
      <c r="A238" s="24" t="s">
        <v>186</v>
      </c>
    </row>
    <row r="239" spans="1:1" x14ac:dyDescent="0.3">
      <c r="A239" s="24" t="s">
        <v>489</v>
      </c>
    </row>
    <row r="240" spans="1:1" x14ac:dyDescent="0.3">
      <c r="A240" s="24" t="s">
        <v>490</v>
      </c>
    </row>
    <row r="241" spans="1:1" x14ac:dyDescent="0.3">
      <c r="A241" s="24" t="s">
        <v>186</v>
      </c>
    </row>
    <row r="242" spans="1:1" x14ac:dyDescent="0.3">
      <c r="A242" s="24" t="s">
        <v>491</v>
      </c>
    </row>
    <row r="244" spans="1:1" x14ac:dyDescent="0.3">
      <c r="A244" s="24" t="s">
        <v>492</v>
      </c>
    </row>
    <row r="246" spans="1:1" x14ac:dyDescent="0.3">
      <c r="A246" s="24" t="s">
        <v>493</v>
      </c>
    </row>
    <row r="248" spans="1:1" x14ac:dyDescent="0.3">
      <c r="A248" s="24" t="s">
        <v>494</v>
      </c>
    </row>
    <row r="249" spans="1:1" x14ac:dyDescent="0.3">
      <c r="A249" s="24" t="s">
        <v>495</v>
      </c>
    </row>
    <row r="250" spans="1:1" x14ac:dyDescent="0.3">
      <c r="A250" s="24" t="s">
        <v>496</v>
      </c>
    </row>
    <row r="251" spans="1:1" x14ac:dyDescent="0.3">
      <c r="A251" s="24" t="s">
        <v>497</v>
      </c>
    </row>
    <row r="252" spans="1:1" x14ac:dyDescent="0.3">
      <c r="A252" s="24" t="s">
        <v>498</v>
      </c>
    </row>
    <row r="254" spans="1:1" x14ac:dyDescent="0.3">
      <c r="A254" s="24" t="s">
        <v>499</v>
      </c>
    </row>
    <row r="255" spans="1:1" x14ac:dyDescent="0.3">
      <c r="A255" s="24" t="s">
        <v>500</v>
      </c>
    </row>
    <row r="256" spans="1:1" x14ac:dyDescent="0.3">
      <c r="A256" s="24" t="s">
        <v>501</v>
      </c>
    </row>
    <row r="257" spans="1:1" x14ac:dyDescent="0.3">
      <c r="A257" s="24" t="s">
        <v>502</v>
      </c>
    </row>
    <row r="258" spans="1:1" x14ac:dyDescent="0.3">
      <c r="A258" s="24" t="s">
        <v>503</v>
      </c>
    </row>
    <row r="261" spans="1:1" x14ac:dyDescent="0.3">
      <c r="A261" s="24" t="s">
        <v>504</v>
      </c>
    </row>
    <row r="262" spans="1:1" x14ac:dyDescent="0.3">
      <c r="A262" s="24" t="s">
        <v>505</v>
      </c>
    </row>
    <row r="263" spans="1:1" x14ac:dyDescent="0.3">
      <c r="A263" s="24" t="s">
        <v>506</v>
      </c>
    </row>
    <row r="264" spans="1:1" x14ac:dyDescent="0.3">
      <c r="A264" s="24" t="s">
        <v>507</v>
      </c>
    </row>
    <row r="265" spans="1:1" x14ac:dyDescent="0.3">
      <c r="A265" s="24" t="s">
        <v>508</v>
      </c>
    </row>
    <row r="267" spans="1:1" x14ac:dyDescent="0.3">
      <c r="A267" s="24" t="s">
        <v>501</v>
      </c>
    </row>
    <row r="268" spans="1:1" x14ac:dyDescent="0.3">
      <c r="A268" s="24" t="s">
        <v>502</v>
      </c>
    </row>
    <row r="269" spans="1:1" x14ac:dyDescent="0.3">
      <c r="A269" s="24" t="s">
        <v>509</v>
      </c>
    </row>
    <row r="272" spans="1:1" x14ac:dyDescent="0.3">
      <c r="A272" s="24" t="s">
        <v>469</v>
      </c>
    </row>
    <row r="273" spans="1:1" x14ac:dyDescent="0.3">
      <c r="A273" s="24" t="s">
        <v>470</v>
      </c>
    </row>
    <row r="275" spans="1:1" x14ac:dyDescent="0.3">
      <c r="A275" s="24" t="s">
        <v>510</v>
      </c>
    </row>
    <row r="277" spans="1:1" x14ac:dyDescent="0.3">
      <c r="A277" s="24" t="s">
        <v>509</v>
      </c>
    </row>
    <row r="280" spans="1:1" x14ac:dyDescent="0.3">
      <c r="A280" s="24" t="s">
        <v>471</v>
      </c>
    </row>
    <row r="281" spans="1:1" x14ac:dyDescent="0.3">
      <c r="A281" s="24" t="s">
        <v>472</v>
      </c>
    </row>
    <row r="282" spans="1:1" x14ac:dyDescent="0.3">
      <c r="A282" s="24" t="s">
        <v>511</v>
      </c>
    </row>
    <row r="283" spans="1:1" x14ac:dyDescent="0.3">
      <c r="A283" s="24" t="s">
        <v>512</v>
      </c>
    </row>
    <row r="284" spans="1:1" x14ac:dyDescent="0.3">
      <c r="A284" s="24" t="s">
        <v>509</v>
      </c>
    </row>
    <row r="285" spans="1:1" x14ac:dyDescent="0.3">
      <c r="A285" s="24" t="s">
        <v>473</v>
      </c>
    </row>
    <row r="287" spans="1:1" x14ac:dyDescent="0.3">
      <c r="A287" s="24" t="s">
        <v>513</v>
      </c>
    </row>
    <row r="288" spans="1:1" x14ac:dyDescent="0.3">
      <c r="A288" s="24" t="s">
        <v>511</v>
      </c>
    </row>
    <row r="289" spans="1:1" x14ac:dyDescent="0.3">
      <c r="A289" s="24" t="s">
        <v>514</v>
      </c>
    </row>
    <row r="291" spans="1:1" x14ac:dyDescent="0.3">
      <c r="A291" s="24" t="s">
        <v>509</v>
      </c>
    </row>
    <row r="294" spans="1:1" x14ac:dyDescent="0.3">
      <c r="A294" s="24" t="s">
        <v>515</v>
      </c>
    </row>
    <row r="295" spans="1:1" x14ac:dyDescent="0.3">
      <c r="A295" s="24" t="s">
        <v>516</v>
      </c>
    </row>
    <row r="296" spans="1:1" x14ac:dyDescent="0.3">
      <c r="A296" s="24" t="s">
        <v>517</v>
      </c>
    </row>
    <row r="298" spans="1:1" x14ac:dyDescent="0.3">
      <c r="A298" s="24" t="s">
        <v>509</v>
      </c>
    </row>
    <row r="301" spans="1:1" x14ac:dyDescent="0.3">
      <c r="A301" s="24" t="s">
        <v>518</v>
      </c>
    </row>
    <row r="302" spans="1:1" x14ac:dyDescent="0.3">
      <c r="A302" s="24" t="s">
        <v>519</v>
      </c>
    </row>
    <row r="304" spans="1:1" x14ac:dyDescent="0.3">
      <c r="A304" s="24" t="s">
        <v>520</v>
      </c>
    </row>
    <row r="305" spans="1:1" x14ac:dyDescent="0.3">
      <c r="A305" s="24" t="s">
        <v>521</v>
      </c>
    </row>
    <row r="306" spans="1:1" x14ac:dyDescent="0.3">
      <c r="A306" s="24" t="s">
        <v>509</v>
      </c>
    </row>
    <row r="309" spans="1:1" x14ac:dyDescent="0.3">
      <c r="A309" s="24" t="s">
        <v>518</v>
      </c>
    </row>
    <row r="310" spans="1:1" x14ac:dyDescent="0.3">
      <c r="A310" s="24" t="s">
        <v>522</v>
      </c>
    </row>
    <row r="311" spans="1:1" x14ac:dyDescent="0.3">
      <c r="A311" s="24" t="s">
        <v>518</v>
      </c>
    </row>
    <row r="312" spans="1:1" x14ac:dyDescent="0.3">
      <c r="A312" s="24" t="s">
        <v>523</v>
      </c>
    </row>
    <row r="314" spans="1:1" x14ac:dyDescent="0.3">
      <c r="A314" s="24" t="s">
        <v>524</v>
      </c>
    </row>
    <row r="316" spans="1:1" x14ac:dyDescent="0.3">
      <c r="A316" s="24" t="s">
        <v>509</v>
      </c>
    </row>
    <row r="319" spans="1:1" x14ac:dyDescent="0.3">
      <c r="A319" s="24" t="s">
        <v>518</v>
      </c>
    </row>
    <row r="320" spans="1:1" x14ac:dyDescent="0.3">
      <c r="A320" s="24" t="s">
        <v>525</v>
      </c>
    </row>
    <row r="321" spans="1:1" x14ac:dyDescent="0.3">
      <c r="A321" s="24" t="s">
        <v>526</v>
      </c>
    </row>
    <row r="322" spans="1:1" x14ac:dyDescent="0.3">
      <c r="A322" s="24" t="s">
        <v>527</v>
      </c>
    </row>
    <row r="324" spans="1:1" x14ac:dyDescent="0.3">
      <c r="A324" s="24" t="s">
        <v>509</v>
      </c>
    </row>
    <row r="326" spans="1:1" x14ac:dyDescent="0.3">
      <c r="A326" s="24" t="s">
        <v>468</v>
      </c>
    </row>
    <row r="329" spans="1:1" x14ac:dyDescent="0.3">
      <c r="A329" s="24" t="s">
        <v>474</v>
      </c>
    </row>
    <row r="330" spans="1:1" x14ac:dyDescent="0.3">
      <c r="A330" s="24" t="s">
        <v>475</v>
      </c>
    </row>
    <row r="331" spans="1:1" x14ac:dyDescent="0.3">
      <c r="A331" s="24" t="s">
        <v>528</v>
      </c>
    </row>
    <row r="332" spans="1:1" x14ac:dyDescent="0.3">
      <c r="A332" s="24" t="s">
        <v>529</v>
      </c>
    </row>
    <row r="333" spans="1:1" x14ac:dyDescent="0.3">
      <c r="A333" s="24" t="s">
        <v>530</v>
      </c>
    </row>
    <row r="334" spans="1:1" x14ac:dyDescent="0.3">
      <c r="A334" s="24" t="s">
        <v>531</v>
      </c>
    </row>
    <row r="335" spans="1:1" x14ac:dyDescent="0.3">
      <c r="A335" s="24" t="s">
        <v>532</v>
      </c>
    </row>
    <row r="336" spans="1:1" x14ac:dyDescent="0.3">
      <c r="A336" s="24" t="s">
        <v>485</v>
      </c>
    </row>
    <row r="337" spans="1:1" x14ac:dyDescent="0.3">
      <c r="A337" s="24" t="s">
        <v>476</v>
      </c>
    </row>
    <row r="340" spans="1:1" x14ac:dyDescent="0.3">
      <c r="A340" s="24" t="s">
        <v>477</v>
      </c>
    </row>
    <row r="342" spans="1:1" x14ac:dyDescent="0.3">
      <c r="A342" s="24" t="s">
        <v>533</v>
      </c>
    </row>
    <row r="343" spans="1:1" x14ac:dyDescent="0.3">
      <c r="A343" s="24" t="s">
        <v>534</v>
      </c>
    </row>
    <row r="344" spans="1:1" x14ac:dyDescent="0.3">
      <c r="A344" s="24" t="s">
        <v>535</v>
      </c>
    </row>
    <row r="345" spans="1:1" x14ac:dyDescent="0.3">
      <c r="A345" s="24" t="s">
        <v>536</v>
      </c>
    </row>
    <row r="346" spans="1:1" x14ac:dyDescent="0.3">
      <c r="A346" s="24" t="s">
        <v>537</v>
      </c>
    </row>
    <row r="347" spans="1:1" x14ac:dyDescent="0.3">
      <c r="A347" s="24" t="s">
        <v>485</v>
      </c>
    </row>
    <row r="348" spans="1:1" x14ac:dyDescent="0.3">
      <c r="A348" s="24" t="s">
        <v>478</v>
      </c>
    </row>
    <row r="349" spans="1:1" x14ac:dyDescent="0.3">
      <c r="A349" s="24" t="s">
        <v>538</v>
      </c>
    </row>
    <row r="350" spans="1:1" x14ac:dyDescent="0.3">
      <c r="A350" s="24" t="s">
        <v>539</v>
      </c>
    </row>
    <row r="352" spans="1:1" x14ac:dyDescent="0.3">
      <c r="A352" s="24" t="s">
        <v>509</v>
      </c>
    </row>
    <row r="355" spans="1:1" x14ac:dyDescent="0.3">
      <c r="A355" s="24" t="s">
        <v>468</v>
      </c>
    </row>
    <row r="361" spans="1:1" x14ac:dyDescent="0.3">
      <c r="A361" s="24" t="s">
        <v>479</v>
      </c>
    </row>
  </sheetData>
  <sheetProtection password="C6AC" sheet="1"/>
  <dataConsolidate/>
  <mergeCells count="56">
    <mergeCell ref="O6:P6"/>
    <mergeCell ref="O5:P5"/>
    <mergeCell ref="O17:P17"/>
    <mergeCell ref="O18:P18"/>
    <mergeCell ref="H33:I34"/>
    <mergeCell ref="M4:P4"/>
    <mergeCell ref="M2:P2"/>
    <mergeCell ref="N13:O13"/>
    <mergeCell ref="N12:O12"/>
    <mergeCell ref="O9:P9"/>
    <mergeCell ref="O8:P8"/>
    <mergeCell ref="O7:P7"/>
    <mergeCell ref="H27:I27"/>
    <mergeCell ref="M18:N18"/>
    <mergeCell ref="M5:N5"/>
    <mergeCell ref="M6:N6"/>
    <mergeCell ref="M17:N17"/>
    <mergeCell ref="L3:M3"/>
    <mergeCell ref="N11:O11"/>
    <mergeCell ref="C21:D21"/>
    <mergeCell ref="C23:D23"/>
    <mergeCell ref="O20:P20"/>
    <mergeCell ref="M23:N23"/>
    <mergeCell ref="M24:N24"/>
    <mergeCell ref="C2:D3"/>
    <mergeCell ref="C4:D4"/>
    <mergeCell ref="M22:N22"/>
    <mergeCell ref="M19:N19"/>
    <mergeCell ref="M9:N9"/>
    <mergeCell ref="M7:N7"/>
    <mergeCell ref="M8:N8"/>
    <mergeCell ref="C7:D7"/>
    <mergeCell ref="C10:D10"/>
    <mergeCell ref="C13:D13"/>
    <mergeCell ref="C8:D8"/>
    <mergeCell ref="C9:D9"/>
    <mergeCell ref="M20:N20"/>
    <mergeCell ref="N14:O14"/>
    <mergeCell ref="N15:O15"/>
    <mergeCell ref="C18:D18"/>
    <mergeCell ref="C5:D5"/>
    <mergeCell ref="H26:I26"/>
    <mergeCell ref="C16:D16"/>
    <mergeCell ref="C17:D17"/>
    <mergeCell ref="O21:P21"/>
    <mergeCell ref="M21:N21"/>
    <mergeCell ref="O19:P19"/>
    <mergeCell ref="O22:P22"/>
    <mergeCell ref="C20:D20"/>
    <mergeCell ref="C6:D6"/>
    <mergeCell ref="C14:D14"/>
    <mergeCell ref="C26:D26"/>
    <mergeCell ref="C19:D19"/>
    <mergeCell ref="O23:P23"/>
    <mergeCell ref="O24:P24"/>
    <mergeCell ref="C22:D22"/>
  </mergeCells>
  <phoneticPr fontId="8" type="noConversion"/>
  <conditionalFormatting sqref="B14:D14 B34:C34">
    <cfRule type="expression" dxfId="53" priority="36" stopIfTrue="1">
      <formula>AND(IF(RIGHT(Nb_diam,1)=",",1),IF(LEFT(Type_masquage,1)="M",1))</formula>
    </cfRule>
  </conditionalFormatting>
  <conditionalFormatting sqref="C11">
    <cfRule type="cellIs" dxfId="52" priority="24" stopIfTrue="1" operator="equal">
      <formula>549</formula>
    </cfRule>
    <cfRule type="expression" dxfId="51" priority="27" stopIfTrue="1">
      <formula>OR(MasseSans&lt;MpropuVide, MasseSans&gt;20*MpropuPlein)</formula>
    </cfRule>
  </conditionalFormatting>
  <conditionalFormatting sqref="C12">
    <cfRule type="cellIs" dxfId="50" priority="23" stopIfTrue="1" operator="equal">
      <formula>359</formula>
    </cfRule>
  </conditionalFormatting>
  <conditionalFormatting sqref="C17">
    <cfRule type="expression" dxfId="49" priority="150" stopIfTrue="1">
      <formula>C204</formula>
    </cfRule>
  </conditionalFormatting>
  <conditionalFormatting sqref="C27 C29">
    <cfRule type="cellIs" dxfId="48" priority="17" stopIfTrue="1" operator="equal">
      <formula>64</formula>
    </cfRule>
  </conditionalFormatting>
  <conditionalFormatting sqref="C28">
    <cfRule type="cellIs" dxfId="47" priority="18" stopIfTrue="1" operator="equal">
      <formula>39</formula>
    </cfRule>
  </conditionalFormatting>
  <conditionalFormatting sqref="C30">
    <cfRule type="cellIs" dxfId="46" priority="19" stopIfTrue="1" operator="equal">
      <formula>79</formula>
    </cfRule>
  </conditionalFormatting>
  <conditionalFormatting sqref="C13:D13">
    <cfRule type="cellIs" dxfId="45" priority="22" stopIfTrue="1" operator="equal">
      <formula>569</formula>
    </cfRule>
  </conditionalFormatting>
  <conditionalFormatting sqref="C22:D22">
    <cfRule type="cellIs" dxfId="44" priority="21" stopIfTrue="1" operator="equal">
      <formula>126</formula>
    </cfRule>
  </conditionalFormatting>
  <conditionalFormatting sqref="C23:D23">
    <cfRule type="cellIs" dxfId="43" priority="20" stopIfTrue="1" operator="equal">
      <formula>44</formula>
    </cfRule>
  </conditionalFormatting>
  <conditionalFormatting sqref="D17">
    <cfRule type="expression" dxfId="42" priority="10" stopIfTrue="1">
      <formula>D202</formula>
    </cfRule>
  </conditionalFormatting>
  <conditionalFormatting sqref="H28">
    <cfRule type="expression" dxfId="41" priority="46" stopIfTrue="1">
      <formula>OR(Cn&lt;CritCnmin,Cn&gt;CritCnmax)</formula>
    </cfRule>
  </conditionalFormatting>
  <conditionalFormatting sqref="H29">
    <cfRule type="expression" dxfId="40" priority="45" stopIfTrue="1">
      <formula>OR(MS_min&lt;CritMsmin,MS_min&gt;CritMsmax)</formula>
    </cfRule>
  </conditionalFormatting>
  <conditionalFormatting sqref="H30">
    <cfRule type="expression" dxfId="39" priority="43" stopIfTrue="1">
      <formula>OR(MS_Cn_min&lt;CritMsCnmin,MS_Cn_min&gt;CritMsCnmax)</formula>
    </cfRule>
  </conditionalFormatting>
  <conditionalFormatting sqref="H27:I27">
    <cfRule type="expression" dxfId="38" priority="47" stopIfTrue="1">
      <formula>OR(Finesse&lt;CritFinessemin,Finesse&gt;CritFinessemax)</formula>
    </cfRule>
  </conditionalFormatting>
  <conditionalFormatting sqref="H33:I34">
    <cfRule type="expression" dxfId="37" priority="50" stopIfTrue="1">
      <formula>$H$33="STABLE"</formula>
    </cfRule>
  </conditionalFormatting>
  <conditionalFormatting sqref="I28">
    <cfRule type="expression" dxfId="36" priority="5" stopIfTrue="1">
      <formula>OR(Cn0&lt;CritCnmin,Cn0&gt;CritCnmax)</formula>
    </cfRule>
  </conditionalFormatting>
  <conditionalFormatting sqref="I29">
    <cfRule type="expression" dxfId="35" priority="44" stopIfTrue="1">
      <formula>OR(MS_max&lt;CritMsmin,MS_max&gt;CritMsmax)</formula>
    </cfRule>
  </conditionalFormatting>
  <conditionalFormatting sqref="I30">
    <cfRule type="expression" dxfId="34" priority="42" stopIfTrue="1">
      <formula>OR(MS_Cn_max&lt;CritMsCnmin,MS_Cn_max&gt;CritMsCnmax)</formula>
    </cfRule>
  </conditionalFormatting>
  <conditionalFormatting sqref="L38:M38">
    <cfRule type="expression" dxfId="33" priority="232" stopIfTrue="1">
      <formula>OR(SUM($C$27:$C$32)=273, $H$33&lt;&gt;"STABLE")</formula>
    </cfRule>
  </conditionalFormatting>
  <conditionalFormatting sqref="L6:P9">
    <cfRule type="expression" dxfId="32" priority="48" stopIfTrue="1">
      <formula>IF(RIGHT(Nb_diam,1)=",",1)</formula>
    </cfRule>
  </conditionalFormatting>
  <conditionalFormatting sqref="L20:P22 D25:E25 D27:E34 B35:E35">
    <cfRule type="expression" dxfId="31" priority="83" stopIfTrue="1">
      <formula>IF(LEFT(Type_masquage,1)="M",1)</formula>
    </cfRule>
  </conditionalFormatting>
  <conditionalFormatting sqref="L23:P24">
    <cfRule type="expression" dxfId="30" priority="64" stopIfTrue="1">
      <formula>IF(RIGHT(Nb_diam,1)=",",1)</formula>
    </cfRule>
  </conditionalFormatting>
  <conditionalFormatting sqref="M36 O36">
    <cfRule type="expression" dxfId="29" priority="141" stopIfTrue="1">
      <formula>$M$36="propu NOK"</formula>
    </cfRule>
  </conditionalFormatting>
  <conditionalFormatting sqref="M5:P5">
    <cfRule type="expression" dxfId="28" priority="38" stopIfTrue="1">
      <formula>IF(RIGHT(Nb_diam,1)=",",1)</formula>
    </cfRule>
  </conditionalFormatting>
  <conditionalFormatting sqref="N36">
    <cfRule type="expression" dxfId="27" priority="26" stopIfTrue="1">
      <formula>ROUND(SUM(C2:P25)+SUM(C27:P35),0)=8637</formula>
    </cfRule>
  </conditionalFormatting>
  <dataValidations count="13">
    <dataValidation type="whole" allowBlank="1" showInputMessage="1" showErrorMessage="1" error="Tapez un entier entre 3 et 6." sqref="C32:D32" xr:uid="{0B6E2C9D-DAC5-F146-B9BD-078A6198BB9B}">
      <formula1>3</formula1>
      <formula2>6</formula2>
    </dataValidation>
    <dataValidation type="decimal" operator="notEqual" allowBlank="1" showInputMessage="1" showErrorMessage="1" error="Tapez uniquement la longueur, sans l'unité." sqref="C29:D29" xr:uid="{466736F9-CB69-4447-9EDD-D0315D406FD1}">
      <formula1>1E+100</formula1>
    </dataValidation>
    <dataValidation type="decimal" operator="greaterThanOrEqual" allowBlank="1" showInputMessage="1" showErrorMessage="1" error="Tapez uniquement la longueur, sans l'unité." sqref="C27:D28 C33:D34 C30:D31 M6:O9" xr:uid="{8F6CEE36-4894-FB43-BAA1-BDB860438BF5}">
      <formula1>0</formula1>
    </dataValidation>
    <dataValidation type="list" showInputMessage="1" showErrorMessage="1" sqref="C26:D26" xr:uid="{79D1D883-6729-D043-8B70-93426D38A3A1}">
      <formula1>Menu_Empennage</formula1>
    </dataValidation>
    <dataValidation type="list" showInputMessage="1" showErrorMessage="1" sqref="C17:D17" xr:uid="{C63DA15E-96B4-A44F-8AF7-1574288C1661}">
      <formula1>Liste_propu</formula1>
    </dataValidation>
    <dataValidation type="list" showInputMessage="1" showErrorMessage="1" sqref="M2" xr:uid="{365CF203-40E6-744C-B3E9-43668F4942EE}">
      <formula1>Menu_Lang</formula1>
    </dataValidation>
    <dataValidation type="decimal" showInputMessage="1" showErrorMessage="1" errorTitle="Masse de la Fusée" error="Tapez uniquement la masse, sans l'unité." sqref="C11" xr:uid="{61B5E42E-8481-E14A-A642-4ECD3B562EE6}">
      <formula1>0</formula1>
      <formula2>50000</formula2>
    </dataValidation>
    <dataValidation type="decimal" operator="greaterThan" showInputMessage="1" showErrorMessage="1" error="Tapez uniquement la longueur, sans l'unité." sqref="C12 C13:D13 C22:D23" xr:uid="{57773C4F-9C6C-8548-9F34-C74B73D21C1D}">
      <formula1>0</formula1>
    </dataValidation>
    <dataValidation type="list" showInputMessage="1" showErrorMessage="1" sqref="D11:D12" xr:uid="{594D8E20-D917-4244-8111-797409E591CB}">
      <formula1>Menu_with_motor</formula1>
    </dataValidation>
    <dataValidation type="list" showInputMessage="1" showErrorMessage="1" sqref="C10:D10" xr:uid="{EAE9CC7C-DBFB-7043-A5F9-0E2131E02B4D}">
      <formula1>Menu_Type</formula1>
    </dataValidation>
    <dataValidation type="decimal" operator="greaterThan" allowBlank="1" showInputMessage="1" showErrorMessage="1" error="Tapez uniquement la longueur, sans l'unité." sqref="C18" xr:uid="{D63BB950-CD20-104E-9239-4D42BF9046BC}">
      <formula1>0</formula1>
    </dataValidation>
    <dataValidation type="list" showInputMessage="1" showErrorMessage="1" sqref="C21:D21" xr:uid="{EE8348D6-8911-EB45-BB9E-531C86D5E490}">
      <formula1>Menu_Ogive</formula1>
    </dataValidation>
    <dataValidation type="list" showInputMessage="1" showErrorMessage="1" sqref="M4" xr:uid="{89162CE9-2114-154B-ADF4-DDF8347A12C1}">
      <formula1>Menu_Transitions</formula1>
    </dataValidation>
  </dataValidations>
  <hyperlinks>
    <hyperlink ref="M38" location="Trajecto!C25" display="Trajecto" xr:uid="{5ED66539-BC16-E54D-8A5C-2CC7C3C4040F}"/>
  </hyperlinks>
  <printOptions horizontalCentered="1" verticalCentered="1"/>
  <pageMargins left="7.874015748031496E-2" right="7.874015748031496E-2" top="7.874015748031496E-2" bottom="7.874015748031496E-2" header="0" footer="0"/>
  <pageSetup paperSize="9" orientation="landscape" horizontalDpi="200" verticalDpi="200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775" r:id="rId3" name="Spinner 935">
              <controlPr defaultSize="0" print="0" autoPict="0">
                <anchor moveWithCells="1" sizeWithCells="1">
                  <from>
                    <xdr:col>3</xdr:col>
                    <xdr:colOff>812800</xdr:colOff>
                    <xdr:row>21</xdr:row>
                    <xdr:rowOff>12700</xdr:rowOff>
                  </from>
                  <to>
                    <xdr:col>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1" r:id="rId4" name="Spinner 941">
              <controlPr defaultSize="0" print="0" autoPict="0">
                <anchor moveWithCells="1" sizeWithCells="1">
                  <from>
                    <xdr:col>2</xdr:col>
                    <xdr:colOff>812800</xdr:colOff>
                    <xdr:row>10</xdr:row>
                    <xdr:rowOff>12700</xdr:rowOff>
                  </from>
                  <to>
                    <xdr:col>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2" r:id="rId5" name="Spinner 942">
              <controlPr defaultSize="0" print="0" autoPict="0">
                <anchor moveWithCells="1" sizeWithCells="1">
                  <from>
                    <xdr:col>2</xdr:col>
                    <xdr:colOff>812800</xdr:colOff>
                    <xdr:row>11</xdr:row>
                    <xdr:rowOff>12700</xdr:rowOff>
                  </from>
                  <to>
                    <xdr:col>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3" r:id="rId6" name="Spinner 943">
              <controlPr defaultSize="0" print="0" autoPict="0">
                <anchor moveWithCells="1" sizeWithCells="1">
                  <from>
                    <xdr:col>3</xdr:col>
                    <xdr:colOff>812800</xdr:colOff>
                    <xdr:row>22</xdr:row>
                    <xdr:rowOff>12700</xdr:rowOff>
                  </from>
                  <to>
                    <xdr:col>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9" r:id="rId7" name="Spinner 949">
              <controlPr defaultSize="0" print="0" autoPict="0">
                <anchor moveWithCells="1" sizeWithCells="1">
                  <from>
                    <xdr:col>2</xdr:col>
                    <xdr:colOff>812800</xdr:colOff>
                    <xdr:row>26</xdr:row>
                    <xdr:rowOff>12700</xdr:rowOff>
                  </from>
                  <to>
                    <xdr:col>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5" r:id="rId8" name="Spinner 955">
              <controlPr defaultSize="0" print="0" autoPict="0">
                <anchor moveWithCells="1" sizeWithCells="1">
                  <from>
                    <xdr:col>2</xdr:col>
                    <xdr:colOff>812800</xdr:colOff>
                    <xdr:row>27</xdr:row>
                    <xdr:rowOff>12700</xdr:rowOff>
                  </from>
                  <to>
                    <xdr:col>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6" r:id="rId9" name="Spinner 956">
              <controlPr defaultSize="0" print="0" autoPict="0">
                <anchor moveWithCells="1" sizeWithCells="1">
                  <from>
                    <xdr:col>2</xdr:col>
                    <xdr:colOff>812800</xdr:colOff>
                    <xdr:row>28</xdr:row>
                    <xdr:rowOff>12700</xdr:rowOff>
                  </from>
                  <to>
                    <xdr:col>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7" r:id="rId10" name="Spinner 957">
              <controlPr defaultSize="0" print="0" autoPict="0">
                <anchor moveWithCells="1" sizeWithCells="1">
                  <from>
                    <xdr:col>2</xdr:col>
                    <xdr:colOff>812800</xdr:colOff>
                    <xdr:row>29</xdr:row>
                    <xdr:rowOff>12700</xdr:rowOff>
                  </from>
                  <to>
                    <xdr:col>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8" r:id="rId11" name="Spinner 958">
              <controlPr defaultSize="0" print="0" autoPict="0">
                <anchor moveWithCells="1" sizeWithCells="1">
                  <from>
                    <xdr:col>2</xdr:col>
                    <xdr:colOff>812800</xdr:colOff>
                    <xdr:row>30</xdr:row>
                    <xdr:rowOff>12700</xdr:rowOff>
                  </from>
                  <to>
                    <xdr:col>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9" r:id="rId12" name="Spinner 959">
              <controlPr defaultSize="0" print="0" autoPict="0">
                <anchor moveWithCells="1" sizeWithCells="1">
                  <from>
                    <xdr:col>2</xdr:col>
                    <xdr:colOff>812800</xdr:colOff>
                    <xdr:row>31</xdr:row>
                    <xdr:rowOff>12700</xdr:rowOff>
                  </from>
                  <to>
                    <xdr:col>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1" r:id="rId13" name="Spinner 961">
              <controlPr defaultSize="0" print="0" autoPict="0">
                <anchor moveWithCells="1" sizeWithCells="1">
                  <from>
                    <xdr:col>3</xdr:col>
                    <xdr:colOff>812800</xdr:colOff>
                    <xdr:row>12</xdr:row>
                    <xdr:rowOff>12700</xdr:rowOff>
                  </from>
                  <to>
                    <xdr:col>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1" r:id="rId14" name="Spinner 3315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12700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692" r:id="rId15" name="Spinner 3316">
              <controlPr defaultSize="0" print="0" autoPict="0">
                <anchor moveWithCells="1" sizeWithCells="1">
                  <from>
                    <xdr:col>19</xdr:col>
                    <xdr:colOff>0</xdr:colOff>
                    <xdr:row>35</xdr:row>
                    <xdr:rowOff>12700</xdr:rowOff>
                  </from>
                  <to>
                    <xdr:col>19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EC23-8FF4-4845-884D-BFFCC7C46FA3}">
  <sheetPr codeName="Feuil1">
    <pageSetUpPr fitToPage="1"/>
  </sheetPr>
  <dimension ref="A1:R199"/>
  <sheetViews>
    <sheetView showGridLines="0" tabSelected="1" zoomScale="85" zoomScaleNormal="85" workbookViewId="0">
      <selection activeCell="C15" sqref="C15:D15"/>
    </sheetView>
  </sheetViews>
  <sheetFormatPr baseColWidth="10" defaultColWidth="11.36328125" defaultRowHeight="12.5" x14ac:dyDescent="0.25"/>
  <cols>
    <col min="1" max="1" width="2.1796875" style="1" customWidth="1"/>
    <col min="2" max="2" width="16.36328125" style="1" customWidth="1"/>
    <col min="3" max="4" width="11.36328125" style="1"/>
    <col min="5" max="5" width="2.6328125" style="1" customWidth="1"/>
    <col min="6" max="7" width="12.81640625" style="1" customWidth="1"/>
    <col min="8" max="13" width="10.6328125" style="1" customWidth="1"/>
    <col min="14" max="15" width="2.1796875" style="1" customWidth="1"/>
    <col min="16" max="17" width="14.36328125" style="1" customWidth="1"/>
    <col min="18" max="16384" width="11.36328125" style="1"/>
  </cols>
  <sheetData>
    <row r="1" spans="1:14" ht="13" x14ac:dyDescent="0.3">
      <c r="A1" s="51"/>
      <c r="B1" s="52"/>
      <c r="C1" s="53"/>
      <c r="D1" s="52"/>
      <c r="E1" s="54"/>
      <c r="F1" s="54"/>
      <c r="G1" s="54"/>
      <c r="H1" s="54"/>
      <c r="I1" s="54"/>
      <c r="J1" s="54"/>
      <c r="K1" s="54"/>
      <c r="L1" s="54"/>
      <c r="M1" s="54"/>
      <c r="N1" s="55"/>
    </row>
    <row r="2" spans="1:14" ht="12.75" customHeight="1" x14ac:dyDescent="0.3">
      <c r="A2" s="56"/>
      <c r="B2" s="2"/>
      <c r="C2" s="625" t="s">
        <v>0</v>
      </c>
      <c r="D2" s="625"/>
      <c r="F2" s="3"/>
      <c r="J2" s="4"/>
      <c r="N2" s="57"/>
    </row>
    <row r="3" spans="1:14" ht="12.75" customHeight="1" x14ac:dyDescent="0.3">
      <c r="A3" s="56"/>
      <c r="B3" s="2"/>
      <c r="C3" s="625"/>
      <c r="D3" s="625"/>
      <c r="H3" s="5"/>
      <c r="J3" s="4"/>
      <c r="N3" s="57"/>
    </row>
    <row r="4" spans="1:14" ht="12.75" customHeight="1" x14ac:dyDescent="0.3">
      <c r="A4" s="56"/>
      <c r="B4" s="2"/>
      <c r="C4" s="628" t="str">
        <f>IF(Lang="Français","Trajectographie de fusée",IF(Lang="English","Rocket Trajectography",""))</f>
        <v>Trajectographie de fusée</v>
      </c>
      <c r="D4" s="628"/>
      <c r="H4" s="5"/>
      <c r="J4" s="4"/>
      <c r="N4" s="57"/>
    </row>
    <row r="5" spans="1:14" ht="12.75" customHeight="1" x14ac:dyDescent="0.3">
      <c r="A5" s="56"/>
      <c r="B5" s="2"/>
      <c r="J5" s="4"/>
      <c r="N5" s="57"/>
    </row>
    <row r="6" spans="1:14" ht="13" customHeight="1" x14ac:dyDescent="0.3">
      <c r="A6" s="56"/>
      <c r="B6" s="87"/>
      <c r="C6" s="627" t="str">
        <f>IF(Lang="Français","Remplir les cases jaunes",IF(Lang="English","Fill-in yellow cells only",""))</f>
        <v>Remplir les cases jaunes</v>
      </c>
      <c r="D6" s="627"/>
      <c r="J6" s="4"/>
      <c r="N6" s="57"/>
    </row>
    <row r="7" spans="1:14" ht="13" x14ac:dyDescent="0.3">
      <c r="A7" s="56"/>
      <c r="B7" s="6"/>
      <c r="C7" s="607" t="str">
        <f>IF(Lang="Français","Fusée",IF(Lang="English","Rocket",""))</f>
        <v>Fusée</v>
      </c>
      <c r="D7" s="607"/>
      <c r="N7" s="58"/>
    </row>
    <row r="8" spans="1:14" ht="12.75" customHeight="1" x14ac:dyDescent="0.35">
      <c r="A8" s="56"/>
      <c r="B8" s="140" t="str">
        <f>IF(Lang="Français","Nom",IF(Lang="English","Name",""))</f>
        <v>Nom</v>
      </c>
      <c r="C8" s="626" t="str">
        <f>Nom</f>
        <v>SP-02-alpha</v>
      </c>
      <c r="D8" s="626"/>
      <c r="E8" s="5"/>
      <c r="F8" s="5"/>
      <c r="J8" s="4"/>
      <c r="N8" s="57"/>
    </row>
    <row r="9" spans="1:14" ht="12.75" customHeight="1" x14ac:dyDescent="0.35">
      <c r="A9" s="59"/>
      <c r="B9" s="140" t="s">
        <v>4</v>
      </c>
      <c r="C9" s="626" t="str">
        <f>Club</f>
        <v>l'AéroIPSA</v>
      </c>
      <c r="D9" s="626"/>
      <c r="F9" s="5"/>
      <c r="N9" s="58"/>
    </row>
    <row r="10" spans="1:14" ht="12.75" customHeight="1" x14ac:dyDescent="0.25">
      <c r="A10" s="59"/>
      <c r="B10" s="140" t="str">
        <f>IF(Lang="Français","Masse totale",IF(Lang="English","Total Mass",""))</f>
        <v>Masse totale</v>
      </c>
      <c r="C10" s="602">
        <f ca="1">MassePlein</f>
        <v>12.510999999999999</v>
      </c>
      <c r="D10" s="602"/>
      <c r="F10" s="5"/>
      <c r="N10" s="58"/>
    </row>
    <row r="11" spans="1:14" ht="12.75" customHeight="1" x14ac:dyDescent="0.3">
      <c r="A11" s="59"/>
      <c r="B11" s="227" t="str">
        <f>IF(Lang="Français","Propulseur",IF(Lang="English","Motor",""))</f>
        <v>Propulseur</v>
      </c>
      <c r="C11" s="605" t="str">
        <f>Propu</f>
        <v>Orignal (Pro75-3G)</v>
      </c>
      <c r="D11" s="606"/>
      <c r="F11" s="5"/>
      <c r="N11" s="58"/>
    </row>
    <row r="12" spans="1:14" ht="12.75" customHeight="1" x14ac:dyDescent="0.25">
      <c r="A12" s="59"/>
      <c r="F12" s="5"/>
      <c r="N12" s="58"/>
    </row>
    <row r="13" spans="1:14" ht="12.75" customHeight="1" x14ac:dyDescent="0.3">
      <c r="A13" s="59"/>
      <c r="B13"/>
      <c r="C13" s="607" t="str">
        <f>IF(Lang="Français","Traînée Aérdynamique",IF(Lang="English","Drag",""))</f>
        <v>Traînée Aérdynamique</v>
      </c>
      <c r="D13" s="607"/>
      <c r="N13" s="58"/>
    </row>
    <row r="14" spans="1:14" ht="12.75" customHeight="1" x14ac:dyDescent="0.25">
      <c r="A14" s="59"/>
      <c r="B14" s="140" t="s">
        <v>41</v>
      </c>
      <c r="C14" s="608">
        <f>(PI()*D_ref^2/4+E_ail*ep_ail*Q_ail)/10^6</f>
        <v>1.3853733552923256E-2</v>
      </c>
      <c r="D14" s="608"/>
      <c r="N14" s="58"/>
    </row>
    <row r="15" spans="1:14" ht="12.75" customHeight="1" x14ac:dyDescent="0.25">
      <c r="A15" s="59"/>
      <c r="B15" s="141" t="s">
        <v>5</v>
      </c>
      <c r="C15" s="600">
        <v>0.6</v>
      </c>
      <c r="D15" s="601"/>
      <c r="N15" s="58"/>
    </row>
    <row r="16" spans="1:14" ht="12.75" customHeight="1" x14ac:dyDescent="0.25">
      <c r="A16" s="59"/>
      <c r="N16" s="58"/>
    </row>
    <row r="17" spans="1:18" ht="12.75" customHeight="1" x14ac:dyDescent="0.3">
      <c r="A17" s="59"/>
      <c r="B17"/>
      <c r="C17" s="607" t="str">
        <f>IF(Lang="Français","Rampe de Lancement",IF(Lang="English","Launch Pad",""))</f>
        <v>Rampe de Lancement</v>
      </c>
      <c r="D17" s="607"/>
      <c r="N17" s="58"/>
    </row>
    <row r="18" spans="1:18" ht="12.75" customHeight="1" x14ac:dyDescent="0.25">
      <c r="A18" s="59"/>
      <c r="B18" s="140" t="str">
        <f>IF(Lang="Français","Longueur",IF(Lang="English","Length",""))</f>
        <v>Longueur</v>
      </c>
      <c r="C18" s="604">
        <f>IF(RIGHT(Type_fusee,1)=".",4, IF(LEFT(Type_fusee,4)="Mini",2.5, IF(LEFT(Type_fusee,5)="Micro",1, IF(RIGHT(Type_fusee,1)=" ",0.1,IF(LEFT(Type_fusee,1)="R",3, 2.5)))))</f>
        <v>4</v>
      </c>
      <c r="D18" s="604"/>
      <c r="N18" s="58"/>
    </row>
    <row r="19" spans="1:18" ht="12.75" customHeight="1" x14ac:dyDescent="0.25">
      <c r="A19" s="59"/>
      <c r="B19" s="140" t="str">
        <f>IF(Lang="Français","Élévation",IF(Lang="English","Angle /horizon",""))</f>
        <v>Élévation</v>
      </c>
      <c r="C19" s="603">
        <v>85</v>
      </c>
      <c r="D19" s="603"/>
      <c r="N19" s="58"/>
    </row>
    <row r="20" spans="1:18" ht="12.75" customHeight="1" x14ac:dyDescent="0.25">
      <c r="A20" s="59"/>
      <c r="B20" s="140" t="s">
        <v>6</v>
      </c>
      <c r="C20" s="604">
        <v>0</v>
      </c>
      <c r="D20" s="604"/>
      <c r="N20" s="58"/>
    </row>
    <row r="21" spans="1:18" ht="12.75" customHeight="1" x14ac:dyDescent="0.25">
      <c r="A21" s="59"/>
      <c r="F21" s="384" t="str">
        <f ca="1">IF( OR( AND(Vsortie_de_rampe&lt;18, RIGHT(Type_fusee,1)=";"), AND(Vsortie_de_rampe&lt;20, RIGHT(Type_fusee,1)=".")), IF(Lang="Français","Vitesse en Sortie de Rampe trop faible, alléger la fusée ou choisir un propu plus puissant.","Speed at Launch Pad Exit too low, lighten the rocket or choose a bigger motor."), "")</f>
        <v/>
      </c>
      <c r="N21" s="58"/>
    </row>
    <row r="22" spans="1:18" ht="13" x14ac:dyDescent="0.3">
      <c r="A22" s="59"/>
      <c r="C22" s="609" t="str">
        <f>IF(Lang="Français","DescenteSousParachute",IF(Lang="English","Over Parachute",""))</f>
        <v>DescenteSousParachute</v>
      </c>
      <c r="D22" s="610"/>
      <c r="F22" s="4"/>
      <c r="G22" s="50">
        <f ca="1">TODAY()</f>
        <v>45707</v>
      </c>
      <c r="H22" s="491" t="str">
        <f>IF(Lang="Français","Temps",IF(Lang="English","Time",""))</f>
        <v>Temps</v>
      </c>
      <c r="I22" s="491" t="s">
        <v>12</v>
      </c>
      <c r="J22" s="491" t="str">
        <f>IF(Lang="Français","Portée x",IF(Lang="English","Range x",""))</f>
        <v>Portée x</v>
      </c>
      <c r="K22" s="491" t="str">
        <f>IF(Lang="Français","Vitesse",IF(Lang="English","Velocity",""))</f>
        <v>Vitesse</v>
      </c>
      <c r="L22" s="492" t="s">
        <v>13</v>
      </c>
      <c r="M22" s="501" t="s">
        <v>425</v>
      </c>
      <c r="N22" s="58"/>
    </row>
    <row r="23" spans="1:18" ht="13" x14ac:dyDescent="0.3">
      <c r="A23" s="59"/>
      <c r="B23"/>
      <c r="C23" s="142" t="str">
        <f>C7</f>
        <v>Fusée</v>
      </c>
      <c r="D23" s="220" t="s">
        <v>123</v>
      </c>
      <c r="F23" s="611" t="str">
        <f>IF(Lang="Français","Sortie de Rampe",IF(Lang="English","Launch-Pad Exit",""))</f>
        <v>Sortie de Rampe</v>
      </c>
      <c r="G23" s="612"/>
      <c r="H23" s="493"/>
      <c r="I23" s="493"/>
      <c r="J23" s="493"/>
      <c r="K23" s="494">
        <f ca="1">INDEX(vit_xz,MATCH("Sortie de rampe",Event,0))</f>
        <v>24.647854813179482</v>
      </c>
      <c r="L23" s="495"/>
      <c r="M23" s="502"/>
      <c r="N23" s="58"/>
    </row>
    <row r="24" spans="1:18" ht="13" x14ac:dyDescent="0.25">
      <c r="A24" s="59"/>
      <c r="B24" s="466" t="str">
        <f>IF(Lang="Français","Masse",IF(Lang="English","Mass",""))</f>
        <v>Masse</v>
      </c>
      <c r="C24" s="467">
        <f ca="1">IF(Nb_sat="0 satellite",MasseVide,MasseVide-m_satellite)</f>
        <v>10.638</v>
      </c>
      <c r="D24" s="482">
        <f>IF(RIGHT(Type_fusee,1)=".",1,0.15)</f>
        <v>1</v>
      </c>
      <c r="E24" s="18" t="str">
        <f>IF(ABS(T_satellite-0.11-T_para)&lt;0.1,"Pb!","")</f>
        <v/>
      </c>
      <c r="F24" s="614" t="str">
        <f>IF(Lang="Français","Vit max &amp; Acc max",IF(Lang="English","Max Velocity &amp; Acc",""))</f>
        <v>Vit max &amp; Acc max</v>
      </c>
      <c r="G24" s="594"/>
      <c r="H24" s="115"/>
      <c r="I24" s="115"/>
      <c r="J24" s="115"/>
      <c r="K24" s="158">
        <f ca="1">MAX(vit_xz)</f>
        <v>230.09908389735511</v>
      </c>
      <c r="L24" s="496">
        <f ca="1">MAX(acc_xz)</f>
        <v>92.799419596995548</v>
      </c>
      <c r="M24" s="502"/>
      <c r="N24" s="58"/>
    </row>
    <row r="25" spans="1:18" ht="13" x14ac:dyDescent="0.25">
      <c r="A25" s="59"/>
      <c r="B25" s="470" t="str">
        <f>IF(Lang="Français","Dépotage",IF(Lang="English","Delay",""))</f>
        <v>Dépotage</v>
      </c>
      <c r="C25" s="507" t="s">
        <v>546</v>
      </c>
      <c r="D25" s="481"/>
      <c r="F25" s="615" t="str">
        <f>IF(Lang="Français","Largage du satellite",IF(Lang="English","Satellite separation",""))</f>
        <v>Largage du satellite</v>
      </c>
      <c r="G25" s="596"/>
      <c r="H25" s="152">
        <f>IF(T_satellite&lt;&gt;0,T_satellite,"")</f>
        <v>3.5</v>
      </c>
      <c r="I25" s="156">
        <f ca="1">IF(T_satellite&lt;&gt;0,INDEX(pos_z,MATCH("Satellite",Event_sat,0)),"")</f>
        <v>410.08607198580864</v>
      </c>
      <c r="J25" s="154">
        <f ca="1">IF(T_satellite&lt;&gt;0,INDEX(pos_x,MATCH("Satellite",Event_sat,0)),"")</f>
        <v>45.795091164162045</v>
      </c>
      <c r="K25" s="159">
        <f ca="1">IF(T_satellite&lt;&gt;0,INDEX(vit_xz,MATCH("Satellite",Event_sat,0)),"")</f>
        <v>209.84954923936763</v>
      </c>
      <c r="L25" s="497"/>
      <c r="M25" s="487">
        <f ca="1">1/2*Rho_moyen*1*V_ouv_sat^2*S_satellite</f>
        <v>2697.2560406029042</v>
      </c>
      <c r="N25" s="58"/>
    </row>
    <row r="26" spans="1:18" ht="13" x14ac:dyDescent="0.25">
      <c r="A26" s="59"/>
      <c r="B26" s="468" t="str">
        <f>IF(Lang="Français","Ouverture para",IF(Lang="English","Opening time",""))</f>
        <v>Ouverture para</v>
      </c>
      <c r="C26" s="509">
        <v>19</v>
      </c>
      <c r="D26" s="469">
        <v>3.5</v>
      </c>
      <c r="F26" s="614" t="s">
        <v>15</v>
      </c>
      <c r="G26" s="594"/>
      <c r="H26" s="153">
        <f ca="1">INDEX(t,MATCH("Apogée",Event,0))</f>
        <v>19.599999999999948</v>
      </c>
      <c r="I26" s="157">
        <f ca="1">INDEX(pos_z,MATCH("Apogée",Event,0))</f>
        <v>2003.535757896926</v>
      </c>
      <c r="J26" s="155">
        <f ca="1">INDEX(pos_x,MATCH("Apogée",Event,0))</f>
        <v>363.61629284210136</v>
      </c>
      <c r="K26" s="160">
        <f ca="1">INDEX(vit_xz,MATCH("Apogée",Event,0))</f>
        <v>15.737576195554743</v>
      </c>
      <c r="L26" s="498"/>
      <c r="M26" s="502"/>
      <c r="N26" s="58"/>
    </row>
    <row r="27" spans="1:18" ht="13" x14ac:dyDescent="0.25">
      <c r="A27" s="59"/>
      <c r="B27" s="141" t="s">
        <v>9</v>
      </c>
      <c r="C27" s="225">
        <f>S_para_croix</f>
        <v>1.5070049999999999</v>
      </c>
      <c r="D27" s="17">
        <f>IF(RIGHT(Type_fusee,1)=".",0.1,0.02)</f>
        <v>0.1</v>
      </c>
      <c r="F27" s="613" t="str">
        <f>IF(Lang="Français","Ouverture parachute fusée",IF(Lang="English","Rocket parachute opening",""))</f>
        <v>Ouverture parachute fusée</v>
      </c>
      <c r="G27" s="599"/>
      <c r="H27" s="152">
        <f>T_para</f>
        <v>19</v>
      </c>
      <c r="I27" s="156">
        <f ca="1">INDEX(pos_z,MATCH("Para",Event_para,0))</f>
        <v>2001.5648286462399</v>
      </c>
      <c r="J27" s="488">
        <f ca="1">INDEX(pos_x,MATCH("Para",Event_para,0))</f>
        <v>354.15806611804953</v>
      </c>
      <c r="K27" s="159">
        <f ca="1">INDEX(vit_xz,MATCH("Para",Event_para,0))</f>
        <v>16.981251141128492</v>
      </c>
      <c r="L27" s="497"/>
      <c r="M27" s="487">
        <f ca="1">1/2*Rho_moyen*1*V_ouverture^2*S_para</f>
        <v>266.17064448332428</v>
      </c>
      <c r="N27" s="58"/>
      <c r="P27" s="384" t="str">
        <f ca="1">IF(V_para&lt;5, IF(Lang="Français","Parachute fusée trop grand !","Parachute too big!"), IF( V_para&gt;15, IF(Lang="Français","Parachute fusée trop petit !","Parachute too small!"), ""))</f>
        <v/>
      </c>
      <c r="R27" s="384" t="str">
        <f>IF(AND(Nb_sat="1 satellite", OR(V_satellite&lt;5)), IF(Lang="Français","Parachute satéllite trop grand !","Parachute too big"), IF(AND(Nb_sat="1 satellite",OR(V_satellite&gt;15)), IF(Lang="Français","Parachute satéllite trop petit !","Parachute too small!"), ""))</f>
        <v/>
      </c>
    </row>
    <row r="28" spans="1:18" ht="13" x14ac:dyDescent="0.25">
      <c r="A28" s="59"/>
      <c r="B28" s="141" t="s">
        <v>10</v>
      </c>
      <c r="C28" s="143">
        <v>1</v>
      </c>
      <c r="D28" s="143">
        <v>1</v>
      </c>
      <c r="F28" s="618" t="str">
        <f>IF(Lang="Français","Impact balistique",IF(Lang="English","Balistic Impact",""))</f>
        <v>Impact balistique</v>
      </c>
      <c r="G28" s="619"/>
      <c r="H28" s="499">
        <f ca="1">INDEX(t,MATCH("Impact balistique",Event,0))</f>
        <v>42.900000000000276</v>
      </c>
      <c r="I28" s="519" t="s">
        <v>432</v>
      </c>
      <c r="J28" s="489">
        <f ca="1">INDEX(pos_x,MATCH("Impact balistique",Event,0))</f>
        <v>638.40045476391947</v>
      </c>
      <c r="K28" s="503">
        <f ca="1">K45</f>
        <v>134.88684548874232</v>
      </c>
      <c r="L28" s="500"/>
      <c r="M28" s="504">
        <f ca="1">0.5*m_vide*K28^2</f>
        <v>96776.338515922544</v>
      </c>
      <c r="N28" s="58"/>
      <c r="P28" s="384" t="str">
        <f ca="1">IF( OR( V_para&lt;5, V_para&gt;15, AND(Nb_sat="1 satellite", OR(V_satellite&lt;5, V_satellite&gt;15))), IF(Lang="Français","La Vitesse de descente sous parachute doit être comprise entre 5 &amp; 15 m/s.","Fall Velocity with parachute must be between 5 &amp; 15 m/s."), "")</f>
        <v/>
      </c>
    </row>
    <row r="29" spans="1:18" ht="13" x14ac:dyDescent="0.25">
      <c r="A29" s="59"/>
      <c r="B29" s="141" t="str">
        <f>IF(Lang="Français","Vitesse du vent",IF(Lang="English","Wind speed",""))</f>
        <v>Vitesse du vent</v>
      </c>
      <c r="C29" s="144">
        <v>5</v>
      </c>
      <c r="D29" s="144">
        <f>V_vent</f>
        <v>5</v>
      </c>
      <c r="E29" s="18" t="str">
        <f>IF(AND(T_satellite=0,m_satellite&lt;&gt;0),"Erreur !","")</f>
        <v/>
      </c>
      <c r="G29" s="485"/>
      <c r="H29" s="486"/>
      <c r="I29" s="490"/>
      <c r="N29" s="58"/>
      <c r="P29" s="384" t="str">
        <f ca="1">IF(AND(Portee_balistique&gt;200,LEFT(Propu,2)="p2"),IF(Lang="Français","Fusée trop lègère !","Rocket too light"),"")</f>
        <v/>
      </c>
    </row>
    <row r="30" spans="1:18" ht="13" x14ac:dyDescent="0.3">
      <c r="A30" s="59"/>
      <c r="B30" s="133" t="str">
        <f>IF(Lang="Français","Vitesse descente",IF(Lang="English","Fall velocity",""))</f>
        <v>Vitesse descente</v>
      </c>
      <c r="C30" s="424">
        <f ca="1">SQRT(2*m_vide*g/Rho_moyen/S_para/Cx_para)</f>
        <v>10.632958125381908</v>
      </c>
      <c r="D30" s="424">
        <f>SQRT(2*m_satellite*g/Rho_moyen/S_satellite/Cx_satellite)</f>
        <v>12.655562623057198</v>
      </c>
      <c r="F30" s="384"/>
      <c r="K30" s="388"/>
      <c r="N30" s="58"/>
      <c r="P30" s="384" t="str">
        <f ca="1">IF(OR(AND(Vsortie_de_rampe&lt;20,LEFT(Type_fusee,1)="F"),AND(Vsortie_de_rampe&lt;18, OR(LEFT(Type_fusee,1)=",",LEFT(Type_fusee,4)="Mini",LEFT(Type_fusee,1)="R"))),IF(Lang="Français","Fusée trop lourde ou rampe trop courte !","Rocket too heavy or launch pad too small!"),"")</f>
        <v/>
      </c>
    </row>
    <row r="31" spans="1:18" ht="13" x14ac:dyDescent="0.25">
      <c r="A31" s="59"/>
      <c r="B31" s="133" t="str">
        <f>IF(Lang="Français","Durée descente",IF(Lang="English","Fall duration",""))</f>
        <v>Durée descente</v>
      </c>
      <c r="C31" s="132">
        <f ca="1">Alt_para/V_para</f>
        <v>188.24157915832561</v>
      </c>
      <c r="D31" s="132">
        <f ca="1">IF(V_satellite&lt;&gt;0,Alt_sat/V_satellite,0)</f>
        <v>32.403622359599559</v>
      </c>
      <c r="H31" s="620" t="str">
        <f>IF(Lang="Français","Pour localiser la fusée","To locate the rocket")</f>
        <v>Pour localiser la fusée</v>
      </c>
      <c r="I31" s="620"/>
      <c r="J31" s="484"/>
      <c r="N31" s="395"/>
      <c r="P31" s="384" t="str">
        <f ca="1">IF(Temps_culmi-T_para&gt;2,IF(Lang="Français","Ouverture parachute fusée précoce.","Early rocket parachute opening."),IF(Temps_culmi-T_para&lt;-2,IF(Lang="Français","Ouverture parachute fusée tardive.","Late rocket parachute opening."),""))</f>
        <v/>
      </c>
    </row>
    <row r="32" spans="1:18" ht="13" x14ac:dyDescent="0.25">
      <c r="A32" s="59"/>
      <c r="B32" s="133" t="str">
        <f>IF(Lang="Français","Durée du vol",IF(Lang="English","Fligth duration",""))</f>
        <v>Durée du vol</v>
      </c>
      <c r="C32" s="132">
        <f ca="1">T_para+Dt_para</f>
        <v>207.24157915832561</v>
      </c>
      <c r="D32" s="132">
        <f ca="1">T_satellite+Dt_satellite</f>
        <v>35.903622359599559</v>
      </c>
      <c r="F32" s="620" t="str">
        <f>IF(Lang="Français","Couleur fuselage/coiffe","Body/Nose color")</f>
        <v>Couleur fuselage/coiffe</v>
      </c>
      <c r="G32" s="620"/>
      <c r="H32" s="616" t="s">
        <v>269</v>
      </c>
      <c r="I32" s="617"/>
      <c r="N32" s="394"/>
      <c r="P32" s="384" t="str">
        <f ca="1">IF(ABS(Temps_culmi-T_para)&gt;2,IF(Lang="Français","Attention, aux efforts sur le parachute lors de l'ouverture !","Becarefull to the opening chute efforts!"),"")</f>
        <v/>
      </c>
    </row>
    <row r="33" spans="1:16" customFormat="1" ht="13" x14ac:dyDescent="0.25">
      <c r="A33" s="74"/>
      <c r="B33" s="133" t="str">
        <f>IF(Lang="Français","Déport latéral",IF(Lang="English","Lateral shift",""))</f>
        <v>Déport latéral</v>
      </c>
      <c r="C33" s="151">
        <f ca="1">Alt_para*V_vent/V_para</f>
        <v>941.20789579162795</v>
      </c>
      <c r="D33" s="151">
        <f ca="1">IF(V_satellite&lt;&gt;0,Alt_sat*V_vent_sat/V_satellite,0)</f>
        <v>162.01811179799779</v>
      </c>
      <c r="F33" s="620" t="str">
        <f>IF(Lang="Français","Couleur parachute fusée","Rocket parachute color")</f>
        <v>Couleur parachute fusée</v>
      </c>
      <c r="G33" s="620"/>
      <c r="H33" s="616" t="s">
        <v>270</v>
      </c>
      <c r="I33" s="617"/>
      <c r="N33" s="394" t="str">
        <f>IF(Lang="Français","fichier initial","Initial file")</f>
        <v>fichier initial</v>
      </c>
    </row>
    <row r="34" spans="1:16" ht="13" x14ac:dyDescent="0.25">
      <c r="A34" s="59"/>
      <c r="F34" s="620" t="str">
        <f>IF(Lang="Français","Couleur parachute satellite","Satellite parachute color")</f>
        <v>Couleur parachute satellite</v>
      </c>
      <c r="G34" s="620"/>
      <c r="H34" s="624" t="s">
        <v>161</v>
      </c>
      <c r="I34" s="624"/>
      <c r="N34" s="393" t="str">
        <f>IF(ROUND(SUM(Propu!5:1218),0)=306466,"propu OK","propu NOK")</f>
        <v>propu OK</v>
      </c>
      <c r="P34"/>
    </row>
    <row r="35" spans="1:16" ht="13" thickBot="1" x14ac:dyDescent="0.3">
      <c r="A35" s="60"/>
      <c r="B35" s="181" t="str">
        <f>IF(Lang="Français","Commentaire libre :",IF(Lang="English","Free comment:",""))</f>
        <v>Commentaire libre :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290" t="s">
        <v>550</v>
      </c>
      <c r="P35"/>
    </row>
    <row r="38" spans="1:16" ht="13" x14ac:dyDescent="0.25">
      <c r="A38" s="621" t="str">
        <f>IF(Lang="Français","Calcul de la surface d'un parachute","Parachute surface calculation")</f>
        <v>Calcul de la surface d'un parachute</v>
      </c>
      <c r="B38" s="622"/>
      <c r="C38" s="622"/>
      <c r="D38" s="623"/>
      <c r="F38" s="621" t="str">
        <f>IF(Lang="Français","Résultats détaillés","Detailled results")</f>
        <v>Résultats détaillés</v>
      </c>
      <c r="G38" s="623"/>
      <c r="H38" s="170" t="str">
        <f>IF(Lang="Français","Temps",IF(Lang="English","Time",""))</f>
        <v>Temps</v>
      </c>
      <c r="I38" s="134" t="s">
        <v>12</v>
      </c>
      <c r="J38" s="134" t="str">
        <f>IF(Lang="Français","Portée x",IF(Lang="English","Range x",""))</f>
        <v>Portée x</v>
      </c>
      <c r="K38" s="134" t="str">
        <f>IF(Lang="Français","Vitesse",IF(Lang="English","Velocity",""))</f>
        <v>Vitesse</v>
      </c>
      <c r="L38" s="135" t="s">
        <v>13</v>
      </c>
      <c r="M38" s="134" t="s">
        <v>42</v>
      </c>
    </row>
    <row r="39" spans="1:16" ht="13" x14ac:dyDescent="0.25">
      <c r="A39" s="161"/>
      <c r="D39" s="162"/>
      <c r="F39" s="172"/>
      <c r="G39" s="173"/>
      <c r="H39" s="171" t="s">
        <v>156</v>
      </c>
      <c r="I39" s="136" t="s">
        <v>39</v>
      </c>
      <c r="J39" s="136" t="s">
        <v>39</v>
      </c>
      <c r="K39" s="136" t="s">
        <v>157</v>
      </c>
      <c r="L39" s="136" t="s">
        <v>7</v>
      </c>
      <c r="M39" s="136" t="s">
        <v>158</v>
      </c>
    </row>
    <row r="40" spans="1:16" ht="13" x14ac:dyDescent="0.25">
      <c r="A40" s="161"/>
      <c r="D40" s="162"/>
      <c r="F40" s="593" t="str">
        <f>IF(Lang="Français","Décollage",IF(Lang="English","Lift-Off",""))</f>
        <v>Décollage</v>
      </c>
      <c r="G40" s="593"/>
      <c r="H40" s="150">
        <v>0</v>
      </c>
      <c r="I40" s="150">
        <v>0</v>
      </c>
      <c r="J40" s="150">
        <v>0</v>
      </c>
      <c r="K40" s="150">
        <v>0</v>
      </c>
      <c r="L40" s="148" t="s">
        <v>14</v>
      </c>
      <c r="M40" s="149">
        <f>Beta_rampe</f>
        <v>85</v>
      </c>
    </row>
    <row r="41" spans="1:16" ht="13" x14ac:dyDescent="0.25">
      <c r="A41" s="161"/>
      <c r="D41" s="162"/>
      <c r="F41" s="594" t="str">
        <f>IF(Lang="Français","Sortie de Rampe",IF(Lang="English","Launch-Pad Exit",""))</f>
        <v>Sortie de Rampe</v>
      </c>
      <c r="G41" s="594"/>
      <c r="H41" s="115">
        <f ca="1">INDEX(t,MATCH("Sortie de rampe",Event,0))</f>
        <v>0.34000000000000014</v>
      </c>
      <c r="I41" s="115">
        <f ca="1">INDEX(pos_z,MATCH("Sortie de rampe",Event,0))</f>
        <v>3.8727650609323239</v>
      </c>
      <c r="J41" s="115">
        <f ca="1">INDEX(pos_x,MATCH("Sortie de rampe",Event,0))</f>
        <v>0.33880388857753163</v>
      </c>
      <c r="K41" s="116">
        <f ca="1">INDEX(vit_xz,MATCH("Sortie de rampe",Event,0))</f>
        <v>24.647854813179482</v>
      </c>
      <c r="L41" s="116">
        <f ca="1">INDEX(acc_xz,MATCH("Sortie de rampe",Event,0))</f>
        <v>74.251633465767668</v>
      </c>
      <c r="M41" s="116">
        <f ca="1">INDEX(BetaD,MATCH("Sortie de rampe",Event,0))</f>
        <v>85</v>
      </c>
    </row>
    <row r="42" spans="1:16" ht="13" x14ac:dyDescent="0.25">
      <c r="A42" s="161"/>
      <c r="B42" s="166" t="str">
        <f>IF(Lang="Français","Longeur du bord","Side length")</f>
        <v>Longeur du bord</v>
      </c>
      <c r="D42" s="162"/>
      <c r="F42" s="594" t="str">
        <f>IF(Lang="Français","Vit max &amp; Acc max",IF(Lang="English","Max Velocity &amp; Acc",""))</f>
        <v>Vit max &amp; Acc max</v>
      </c>
      <c r="G42" s="594"/>
      <c r="H42" s="115" t="s">
        <v>14</v>
      </c>
      <c r="I42" s="115" t="s">
        <v>14</v>
      </c>
      <c r="J42" s="115" t="s">
        <v>14</v>
      </c>
      <c r="K42" s="117">
        <f ca="1">MAX(vit_xz)</f>
        <v>230.09908389735511</v>
      </c>
      <c r="L42" s="118">
        <f ca="1">MAX(acc_xz)</f>
        <v>92.799419596995548</v>
      </c>
      <c r="M42" s="116" t="s">
        <v>14</v>
      </c>
    </row>
    <row r="43" spans="1:16" ht="13" x14ac:dyDescent="0.25">
      <c r="A43" s="161"/>
      <c r="B43" s="167">
        <v>549</v>
      </c>
      <c r="D43" s="162"/>
      <c r="F43" s="594" t="str">
        <f>IF(Lang="Français","Fin de Propulsion",IF(Lang="English","Motor Burn-Out",""))</f>
        <v>Fin de Propulsion</v>
      </c>
      <c r="G43" s="594"/>
      <c r="H43" s="116">
        <f ca="1">INDEX(t,MATCH("Fin de propulsion",Event,0))</f>
        <v>4.6899999999999444</v>
      </c>
      <c r="I43" s="119">
        <f ca="1">INDEX(pos_z,MATCH("Fin de propulsion",Event,0))</f>
        <v>674.05210564849745</v>
      </c>
      <c r="J43" s="119">
        <f ca="1">INDEX(pos_x,MATCH("Fin de propulsion",Event,0))</f>
        <v>78.40695974904483</v>
      </c>
      <c r="K43" s="119">
        <f ca="1">INDEX(vit_xz,MATCH("Fin de propulsion",Event,0))</f>
        <v>223.97856758064628</v>
      </c>
      <c r="L43" s="116">
        <f ca="1">INDEX(acc_xz,MATCH("Fin de propulsion",Event,0))</f>
        <v>32.269048688977172</v>
      </c>
      <c r="M43" s="116">
        <f ca="1">INDEX(BetaD,MATCH("Fin de propulsion",Event,0))</f>
        <v>82.77696844424753</v>
      </c>
    </row>
    <row r="44" spans="1:16" ht="13" x14ac:dyDescent="0.25">
      <c r="A44" s="161"/>
      <c r="B44" s="166" t="str">
        <f>IF(Lang="Français","Largeur du coté","Side width")</f>
        <v>Largeur du coté</v>
      </c>
      <c r="D44" s="162"/>
      <c r="F44" s="594" t="s">
        <v>15</v>
      </c>
      <c r="G44" s="594"/>
      <c r="H44" s="118">
        <f ca="1">INDEX(t,MATCH("Apogée",Event,0))</f>
        <v>19.599999999999948</v>
      </c>
      <c r="I44" s="117">
        <f ca="1">INDEX(pos_z,MATCH("Apogée",Event,0))</f>
        <v>2003.535757896926</v>
      </c>
      <c r="J44" s="120">
        <f ca="1">INDEX(pos_x,MATCH("Apogée",Event,0))</f>
        <v>363.61629284210136</v>
      </c>
      <c r="K44" s="120">
        <f ca="1">INDEX(vit_xz,MATCH("Apogée",Event,0))</f>
        <v>15.737576195554743</v>
      </c>
      <c r="L44" s="116">
        <f ca="1">INDEX(acc_xz,MATCH("Apogée",Event,0))</f>
        <v>9.8186356219624376</v>
      </c>
      <c r="M44" s="121">
        <f ca="1">INDEX(BetaD,MATCH("Apogée",Event,0))</f>
        <v>1.2252390572402962</v>
      </c>
    </row>
    <row r="45" spans="1:16" ht="13" x14ac:dyDescent="0.25">
      <c r="A45" s="161"/>
      <c r="B45" s="168">
        <v>549</v>
      </c>
      <c r="D45" s="162"/>
      <c r="F45" s="597" t="str">
        <f>IF(Lang="Français","Impact balistique",IF(Lang="English","Balistic Impact",""))</f>
        <v>Impact balistique</v>
      </c>
      <c r="G45" s="597"/>
      <c r="H45" s="116">
        <f ca="1">INDEX(t,MATCH("Impact balistique",Event,0))</f>
        <v>42.900000000000276</v>
      </c>
      <c r="I45" s="148" t="s">
        <v>16</v>
      </c>
      <c r="J45" s="117">
        <f ca="1">INDEX(pos_x,MATCH("Impact balistique",Event,0))</f>
        <v>638.40045476391947</v>
      </c>
      <c r="K45" s="119">
        <f ca="1">INDEX(vit_xz,MATCH("Impact balistique",Event,0))</f>
        <v>134.88684548874232</v>
      </c>
      <c r="L45" s="116">
        <f ca="1">INDEX(acc_xz,MATCH("Impact balistique",Event,0))</f>
        <v>1.2054576632458265</v>
      </c>
      <c r="M45" s="116">
        <f ca="1">INDEX(BetaD,MATCH("Impact balistique",Event,0))</f>
        <v>-87.253251342505635</v>
      </c>
    </row>
    <row r="46" spans="1:16" ht="13" x14ac:dyDescent="0.25">
      <c r="A46" s="161"/>
      <c r="B46" s="169" t="s">
        <v>9</v>
      </c>
      <c r="D46" s="162"/>
      <c r="F46" s="599" t="str">
        <f>IF(Lang="Français","Ouverture parachute fusée",IF(Lang="English","Rocket parachute opening",""))</f>
        <v>Ouverture parachute fusée</v>
      </c>
      <c r="G46" s="599"/>
      <c r="H46" s="122">
        <f>T_para</f>
        <v>19</v>
      </c>
      <c r="I46" s="123">
        <f ca="1">INDEX(pos_z,MATCH("Para",Event_para,0))</f>
        <v>2001.5648286462399</v>
      </c>
      <c r="J46" s="123">
        <f ca="1">INDEX(pos_x,MATCH("Para",Event_para,0))</f>
        <v>354.15806611804953</v>
      </c>
      <c r="K46" s="123">
        <f ca="1">INDEX(vit_xz,MATCH("Para",Event_para,0))</f>
        <v>16.981251141128492</v>
      </c>
      <c r="L46" s="122">
        <f ca="1">INDEX(acc_xz,MATCH("Para",Event_para,0))</f>
        <v>9.8597314579399811</v>
      </c>
      <c r="M46" s="124">
        <f ca="1">INDEX(BetaD,MATCH("Para",Event_para,0))</f>
        <v>21.548893141030899</v>
      </c>
    </row>
    <row r="47" spans="1:16" ht="13" x14ac:dyDescent="0.25">
      <c r="A47" s="161"/>
      <c r="B47" s="174">
        <f>(4*B43*B45+B43^2)/10^6</f>
        <v>1.5070049999999999</v>
      </c>
      <c r="D47" s="162"/>
      <c r="F47" s="598" t="str">
        <f>IF(Lang="Français","Impact fusée sous para.",IF(Lang="English","Impact of rocket with para. ",""))</f>
        <v>Impact fusée sous para.</v>
      </c>
      <c r="G47" s="598"/>
      <c r="H47" s="125">
        <f ca="1">T_para+Dt_para</f>
        <v>207.24157915832561</v>
      </c>
      <c r="I47" s="127" t="s">
        <v>16</v>
      </c>
      <c r="J47" s="126" t="str">
        <f ca="1">CONCATENATE(TEXT(X_para-Dx_para,"0")," | ",TEXT(X_para+Dx_para,"0"))</f>
        <v>-587 | 1295</v>
      </c>
      <c r="K47" s="126">
        <f ca="1">V_para</f>
        <v>10.632958125381908</v>
      </c>
      <c r="L47" s="128">
        <f>g</f>
        <v>9.81</v>
      </c>
      <c r="M47" s="128" t="s">
        <v>14</v>
      </c>
    </row>
    <row r="48" spans="1:16" ht="13" x14ac:dyDescent="0.25">
      <c r="A48" s="161"/>
      <c r="D48" s="162"/>
      <c r="F48" s="595" t="str">
        <f>IF(Lang="Français","Largage du satellite",IF(Lang="English","Satellite separation",""))</f>
        <v>Largage du satellite</v>
      </c>
      <c r="G48" s="596"/>
      <c r="H48" s="122">
        <f>IF(T_satellite&lt;&gt;0,T_satellite,"")</f>
        <v>3.5</v>
      </c>
      <c r="I48" s="123">
        <f ca="1">IF(T_satellite&lt;&gt;0,INDEX(pos_z,MATCH("Satellite",Event_sat,0)),"")</f>
        <v>410.08607198580864</v>
      </c>
      <c r="J48" s="129">
        <f ca="1">IF(T_satellite&lt;&gt;0,INDEX(pos_x,MATCH("Satellite",Event_sat,0)),"")</f>
        <v>45.795091164162045</v>
      </c>
      <c r="K48" s="123">
        <f ca="1">IF(T_satellite&lt;&gt;0,INDEX(vit_xz,MATCH("Satellite",Event_sat,0)),"")</f>
        <v>209.84954923936763</v>
      </c>
      <c r="L48" s="122">
        <f ca="1">IF(T_satellite&lt;&gt;0,INDEX(acc_xz,MATCH("Satellite",Event_sat,0)),"")</f>
        <v>32.464015196116364</v>
      </c>
      <c r="M48" s="124">
        <f ca="1">IF(T_satellite&lt;&gt;0,INDEX(BetaD,MATCH("Satellite",Event_sat,0)),"")</f>
        <v>83.143736623130295</v>
      </c>
    </row>
    <row r="49" spans="1:13" ht="13" x14ac:dyDescent="0.25">
      <c r="A49" s="161"/>
      <c r="D49" s="162"/>
      <c r="F49" s="591" t="str">
        <f>IF(Lang="Français","Impact du satellite",IF(Lang="English","Satellite impact",""))</f>
        <v>Impact du satellite</v>
      </c>
      <c r="G49" s="592"/>
      <c r="H49" s="125">
        <f ca="1">IF(T_satellite&lt;&gt;0,T_satellite+Dt_satellite,"")</f>
        <v>35.903622359599559</v>
      </c>
      <c r="I49" s="130" t="str">
        <f>IF(T_satellite&lt;&gt;0,"~0","")</f>
        <v>~0</v>
      </c>
      <c r="J49" s="130" t="str">
        <f ca="1">IF(T_satellite&lt;&gt;0,CONCATENATE(TEXT(X_satellite-Dx_sat,"0")," | ",TEXT(X_satellite+Dx_sat,"0")),"")</f>
        <v>-116 | 208</v>
      </c>
      <c r="K49" s="130">
        <f>IF(T_satellite&lt;&gt;0,V_satellite,"")</f>
        <v>12.655562623057198</v>
      </c>
      <c r="L49" s="128">
        <f>IF(T_satellite&lt;&gt;0,g,"")</f>
        <v>9.81</v>
      </c>
      <c r="M49" s="131" t="str">
        <f>IF(T_satellite&lt;&gt;0,"-","")</f>
        <v>-</v>
      </c>
    </row>
    <row r="50" spans="1:13" ht="13" x14ac:dyDescent="0.25">
      <c r="A50" s="161"/>
      <c r="B50" s="166" t="str">
        <f>IF(Lang="Français","Rayon exterieur","Half-diameter ext")</f>
        <v>Rayon exterieur</v>
      </c>
      <c r="D50" s="162"/>
    </row>
    <row r="51" spans="1:13" ht="13" x14ac:dyDescent="0.25">
      <c r="A51" s="161"/>
      <c r="B51" s="168">
        <v>299</v>
      </c>
      <c r="D51" s="162"/>
    </row>
    <row r="52" spans="1:13" ht="13" x14ac:dyDescent="0.25">
      <c r="A52" s="161"/>
      <c r="B52" s="166" t="str">
        <f>IF(Lang="Français","Rayon intérieur","Half-diameter int")</f>
        <v>Rayon intérieur</v>
      </c>
      <c r="D52" s="162"/>
    </row>
    <row r="53" spans="1:13" ht="13" x14ac:dyDescent="0.25">
      <c r="A53" s="161"/>
      <c r="B53" s="168">
        <v>29</v>
      </c>
      <c r="D53" s="162"/>
    </row>
    <row r="54" spans="1:13" ht="13" x14ac:dyDescent="0.25">
      <c r="A54" s="161"/>
      <c r="B54" s="169" t="s">
        <v>9</v>
      </c>
      <c r="D54" s="162"/>
    </row>
    <row r="55" spans="1:13" ht="13" x14ac:dyDescent="0.25">
      <c r="A55" s="161"/>
      <c r="B55" s="174">
        <f>PI()*(B51^2-B53^2)/10^6</f>
        <v>0.27821944540191207</v>
      </c>
      <c r="D55" s="162"/>
    </row>
    <row r="56" spans="1:13" x14ac:dyDescent="0.25">
      <c r="A56" s="163"/>
      <c r="B56" s="164"/>
      <c r="C56" s="164"/>
      <c r="D56" s="165"/>
    </row>
    <row r="93" spans="2:2" ht="13" x14ac:dyDescent="0.3">
      <c r="B93" s="24" t="str">
        <f>IF(Lang="Français","Vitesse de descente sous parachute :",IF(Lang="English","Fall velocity over parachute:",""))</f>
        <v>Vitesse de descente sous parachute :</v>
      </c>
    </row>
    <row r="102" spans="2:7" ht="13" x14ac:dyDescent="0.3">
      <c r="B102" s="24" t="str">
        <f>IF(Lang="Français","Textes pour les listes déroulantes et graphiques :","Texts for drop-down lists &amp; graphics :")</f>
        <v>Textes pour les listes déroulantes et graphiques :</v>
      </c>
      <c r="F102" s="221" t="s">
        <v>411</v>
      </c>
      <c r="G102" s="1" t="s">
        <v>418</v>
      </c>
    </row>
    <row r="103" spans="2:7" x14ac:dyDescent="0.25">
      <c r="F103" s="478">
        <f ca="1">Combustion+Depotage-9</f>
        <v>-9</v>
      </c>
      <c r="G103" s="479" t="s">
        <v>413</v>
      </c>
    </row>
    <row r="104" spans="2:7" x14ac:dyDescent="0.25">
      <c r="B104" s="1" t="s">
        <v>123</v>
      </c>
      <c r="F104" s="478">
        <f ca="1">Combustion+Depotage-7</f>
        <v>-7</v>
      </c>
      <c r="G104" s="479" t="s">
        <v>414</v>
      </c>
    </row>
    <row r="105" spans="2:7" x14ac:dyDescent="0.25">
      <c r="B105" s="1" t="s">
        <v>124</v>
      </c>
      <c r="F105" s="478">
        <f ca="1">Combustion+Depotage-5</f>
        <v>-5</v>
      </c>
      <c r="G105" s="479" t="s">
        <v>415</v>
      </c>
    </row>
    <row r="106" spans="2:7" x14ac:dyDescent="0.25">
      <c r="B106" s="1" t="str">
        <f>IF(T_para&gt;0,IF(Lang="Français","Phase ascendante","Climbing phase"),"")</f>
        <v>Phase ascendante</v>
      </c>
      <c r="F106" s="478">
        <f ca="1">Combustion+Depotage-3</f>
        <v>-3</v>
      </c>
      <c r="G106" s="479" t="s">
        <v>416</v>
      </c>
    </row>
    <row r="107" spans="2:7" x14ac:dyDescent="0.25">
      <c r="B107" s="1" t="str">
        <f>IF(Lang="Français","Descente balistique","Balistic fall")</f>
        <v>Descente balistique</v>
      </c>
      <c r="F107" s="478">
        <f ca="1">Combustion+Depotage</f>
        <v>0</v>
      </c>
      <c r="G107" s="479" t="s">
        <v>417</v>
      </c>
    </row>
    <row r="108" spans="2:7" x14ac:dyDescent="0.25">
      <c r="B108" s="1" t="str">
        <f>IF(T_para&gt;0,IF(Lang="Français","Fusée sous parachute","Rocket under parachute"),"")</f>
        <v>Fusée sous parachute</v>
      </c>
      <c r="F108" s="480" t="str">
        <f>IF(Lang="Français","autre",IF(Lang="English","other",""))</f>
        <v>autre</v>
      </c>
    </row>
    <row r="109" spans="2:7" x14ac:dyDescent="0.25">
      <c r="B109" s="1" t="str">
        <f>IF(AND(Nb_sat="1 satellite",T_satellite&gt;0),IF(Lang="Français","Satellite sous parachute","Satellite over parachute"),"")</f>
        <v/>
      </c>
    </row>
    <row r="110" spans="2:7" x14ac:dyDescent="0.25">
      <c r="B110" s="1" t="str">
        <f>IF(Lang="Français","Trajectoire (x z)","Trajectory (x z)")</f>
        <v>Trajectoire (x z)</v>
      </c>
    </row>
    <row r="111" spans="2:7" x14ac:dyDescent="0.25">
      <c r="B111" s="1" t="str">
        <f>IF(Lang="Français","Portée x [m]","Range x [m]")</f>
        <v>Portée x [m]</v>
      </c>
    </row>
    <row r="112" spans="2:7" x14ac:dyDescent="0.25">
      <c r="B112" s="1" t="str">
        <f>IF(Lang="Français","Temps [s]","Time [s]")</f>
        <v>Temps [s]</v>
      </c>
    </row>
    <row r="113" spans="2:3" x14ac:dyDescent="0.25">
      <c r="B113" s="1" t="str">
        <f>IF(Lang="Français","Altitude z  /  Temps","Altitude z  /  Time")</f>
        <v>Altitude z  /  Temps</v>
      </c>
      <c r="C113" s="1">
        <f>IF(OR(C25=F102,C25=F108),C26,C25)</f>
        <v>19</v>
      </c>
    </row>
    <row r="115" spans="2:3" x14ac:dyDescent="0.25">
      <c r="B115" s="1" t="s">
        <v>412</v>
      </c>
    </row>
    <row r="117" spans="2:3" ht="13" x14ac:dyDescent="0.3">
      <c r="B117" s="24" t="str">
        <f>IF(Lang="Français","Données pour les graphiques :","Data for plots:")</f>
        <v>Données pour les graphiques :</v>
      </c>
      <c r="C117" s="211" t="s">
        <v>50</v>
      </c>
    </row>
    <row r="118" spans="2:3" x14ac:dyDescent="0.25">
      <c r="C118" s="216">
        <f ca="1">MAX(Altitude_culmi,Portee_balistique)</f>
        <v>2003.535757896926</v>
      </c>
    </row>
    <row r="119" spans="2:3" x14ac:dyDescent="0.25">
      <c r="B119" s="210" t="s">
        <v>50</v>
      </c>
    </row>
    <row r="120" spans="2:3" x14ac:dyDescent="0.25">
      <c r="B120" s="218">
        <f ca="1">MAX(Altitude_culmi,Portee_balistique)</f>
        <v>2003.535757896926</v>
      </c>
      <c r="C120" s="211" t="s">
        <v>48</v>
      </c>
    </row>
    <row r="121" spans="2:3" x14ac:dyDescent="0.25">
      <c r="C121" s="214">
        <f ca="1">Alt_para</f>
        <v>2001.5648286462399</v>
      </c>
    </row>
    <row r="122" spans="2:3" x14ac:dyDescent="0.25">
      <c r="B122" s="210" t="s">
        <v>52</v>
      </c>
      <c r="C122" s="214">
        <f ca="1">Alt_para/2</f>
        <v>1000.78241432312</v>
      </c>
    </row>
    <row r="123" spans="2:3" x14ac:dyDescent="0.25">
      <c r="B123" s="217">
        <f ca="1">X_para</f>
        <v>354.15806611804953</v>
      </c>
      <c r="C123" s="214">
        <v>0</v>
      </c>
    </row>
    <row r="124" spans="2:3" x14ac:dyDescent="0.25">
      <c r="B124" s="217">
        <f ca="1">X_para</f>
        <v>354.15806611804953</v>
      </c>
      <c r="C124" s="214">
        <f ca="1">Alt_para/20</f>
        <v>100.078241432312</v>
      </c>
    </row>
    <row r="125" spans="2:3" x14ac:dyDescent="0.25">
      <c r="B125" s="217">
        <f ca="1">X_para</f>
        <v>354.15806611804953</v>
      </c>
      <c r="C125" s="214">
        <v>0</v>
      </c>
    </row>
    <row r="126" spans="2:3" x14ac:dyDescent="0.25">
      <c r="B126" s="217">
        <f ca="1">X_para+Alt_para/40</f>
        <v>404.19718683420552</v>
      </c>
      <c r="C126" s="214">
        <f ca="1">Alt_para/20</f>
        <v>100.078241432312</v>
      </c>
    </row>
    <row r="127" spans="2:3" x14ac:dyDescent="0.25">
      <c r="B127" s="217">
        <f ca="1">X_para</f>
        <v>354.15806611804953</v>
      </c>
      <c r="C127" s="219">
        <v>0</v>
      </c>
    </row>
    <row r="128" spans="2:3" x14ac:dyDescent="0.25">
      <c r="B128" s="217">
        <f ca="1">X_para-Alt_para/40</f>
        <v>304.11894540189354</v>
      </c>
      <c r="C128" s="211" t="s">
        <v>48</v>
      </c>
    </row>
    <row r="129" spans="2:6" x14ac:dyDescent="0.25">
      <c r="B129" s="218">
        <f ca="1">X_para</f>
        <v>354.15806611804953</v>
      </c>
      <c r="C129" s="214">
        <f ca="1">Alt_para</f>
        <v>2001.5648286462399</v>
      </c>
      <c r="E129" s="232">
        <v>1</v>
      </c>
      <c r="F129" s="233" t="s">
        <v>178</v>
      </c>
    </row>
    <row r="130" spans="2:6" x14ac:dyDescent="0.25">
      <c r="B130" s="210" t="s">
        <v>51</v>
      </c>
      <c r="C130" s="214">
        <f ca="1">(C129+C131)/2</f>
        <v>1000.78241432312</v>
      </c>
      <c r="E130" s="161">
        <v>1</v>
      </c>
      <c r="F130" s="234" t="s">
        <v>179</v>
      </c>
    </row>
    <row r="131" spans="2:6" ht="13" x14ac:dyDescent="0.25">
      <c r="B131" s="213">
        <f>T_para</f>
        <v>19</v>
      </c>
      <c r="C131" s="214">
        <f>0</f>
        <v>0</v>
      </c>
      <c r="E131" s="161"/>
      <c r="F131" s="241" t="s">
        <v>180</v>
      </c>
    </row>
    <row r="132" spans="2:6" x14ac:dyDescent="0.25">
      <c r="B132" s="213">
        <f ca="1">(B131+B133)/2</f>
        <v>113.1207895791628</v>
      </c>
      <c r="C132" s="214">
        <f ca="1">Alt_para-V_para*(H47-T_para)+E129*sS*Altitude_culmi/H47*zZ_fus+E130*sS/2*Altitude_culmi/H47*tT_fus</f>
        <v>60.310041184911213</v>
      </c>
      <c r="E132" s="235" t="s">
        <v>175</v>
      </c>
      <c r="F132" s="236">
        <f ca="1">T_balistique/10</f>
        <v>4.2900000000000276</v>
      </c>
    </row>
    <row r="133" spans="2:6" x14ac:dyDescent="0.25">
      <c r="B133" s="213">
        <f ca="1">H47</f>
        <v>207.24157915832561</v>
      </c>
      <c r="C133" s="214">
        <f ca="1">Alt_para-V_para*(H47-T_para)</f>
        <v>0</v>
      </c>
      <c r="E133" s="235" t="s">
        <v>176</v>
      </c>
      <c r="F133" s="236">
        <f ca="1">(H47-T_para)/H47</f>
        <v>0.90831955596379321</v>
      </c>
    </row>
    <row r="134" spans="2:6" x14ac:dyDescent="0.25">
      <c r="B134" s="213">
        <f ca="1">H47+E129*sS/2*zZ_fus-E130*sS*tT_fus</f>
        <v>205.48988826324091</v>
      </c>
      <c r="C134" s="214">
        <f ca="1">Alt_para-V_para*(H47-T_para)+E129*sS*Altitude_culmi/H47*zZ_fus-E130*sS/2*Altitude_culmi/H47*tT_fus</f>
        <v>22.638259405014793</v>
      </c>
      <c r="E134" s="237" t="s">
        <v>177</v>
      </c>
      <c r="F134" s="238">
        <f ca="1">V_para*(H47-T_para)/Alt_para</f>
        <v>1</v>
      </c>
    </row>
    <row r="135" spans="2:6" x14ac:dyDescent="0.25">
      <c r="B135" s="213">
        <f ca="1">H47</f>
        <v>207.24157915832561</v>
      </c>
      <c r="C135" s="216">
        <f ca="1">Alt_para-V_para*(H47-T_para)</f>
        <v>0</v>
      </c>
    </row>
    <row r="136" spans="2:6" x14ac:dyDescent="0.25">
      <c r="B136" s="213">
        <f ca="1">H47-E129*sS/2*zZ_fus-E130*sS*tT_fus</f>
        <v>201.19988826324089</v>
      </c>
    </row>
    <row r="137" spans="2:6" x14ac:dyDescent="0.25">
      <c r="B137" s="215">
        <f ca="1">H47</f>
        <v>207.24157915832561</v>
      </c>
      <c r="C137" s="211" t="s">
        <v>49</v>
      </c>
    </row>
    <row r="138" spans="2:6" x14ac:dyDescent="0.25">
      <c r="C138" s="214" t="b">
        <f>IF(Nb_sat="1 satellite",Alt_sat)</f>
        <v>0</v>
      </c>
    </row>
    <row r="139" spans="2:6" x14ac:dyDescent="0.25">
      <c r="B139" s="210" t="s">
        <v>54</v>
      </c>
      <c r="C139" s="214" t="b">
        <f>IF(Nb_sat="1 satellite",Alt_sat*1/4)</f>
        <v>0</v>
      </c>
    </row>
    <row r="140" spans="2:6" x14ac:dyDescent="0.25">
      <c r="B140" s="217" t="b">
        <f>IF(Nb_sat="1 satellite",X_satellite)</f>
        <v>0</v>
      </c>
      <c r="C140" s="214" t="b">
        <f>IF(Nb_sat="1 satellite",0)</f>
        <v>0</v>
      </c>
    </row>
    <row r="141" spans="2:6" x14ac:dyDescent="0.25">
      <c r="B141" s="217" t="b">
        <f>IF(Nb_sat="1 satellite",X_satellite)</f>
        <v>0</v>
      </c>
      <c r="C141" s="214" t="b">
        <f>IF(Nb_sat="1 satellite",Alt_sat/20)</f>
        <v>0</v>
      </c>
    </row>
    <row r="142" spans="2:6" x14ac:dyDescent="0.25">
      <c r="B142" s="217" t="b">
        <f>IF(Nb_sat="1 satellite",X_satellite)</f>
        <v>0</v>
      </c>
      <c r="C142" s="214" t="b">
        <f>IF(Nb_sat="1 satellite",0)</f>
        <v>0</v>
      </c>
    </row>
    <row r="143" spans="2:6" x14ac:dyDescent="0.25">
      <c r="B143" s="217" t="b">
        <f>IF(Nb_sat="1 satellite",X_satellite+Alt_sat/40)</f>
        <v>0</v>
      </c>
      <c r="C143" s="214" t="b">
        <f>IF(Nb_sat="1 satellite",Alt_sat/20)</f>
        <v>0</v>
      </c>
    </row>
    <row r="144" spans="2:6" x14ac:dyDescent="0.25">
      <c r="B144" s="217" t="b">
        <f>IF(Nb_sat="1 satellite",X_satellite)</f>
        <v>0</v>
      </c>
      <c r="C144" s="214" t="b">
        <f>IF(Nb_sat="1 satellite",0)</f>
        <v>0</v>
      </c>
    </row>
    <row r="145" spans="2:6" x14ac:dyDescent="0.25">
      <c r="B145" s="217" t="b">
        <f>IF(Nb_sat="1 satellite",X_satellite-Alt_sat/40)</f>
        <v>0</v>
      </c>
      <c r="C145" s="211" t="s">
        <v>49</v>
      </c>
    </row>
    <row r="146" spans="2:6" x14ac:dyDescent="0.25">
      <c r="B146" s="218" t="b">
        <f>IF(Nb_sat="1 satellite",X_satellite)</f>
        <v>0</v>
      </c>
      <c r="C146" s="214" t="b">
        <f>IF(Nb_sat="1 satellite",Alt_sat)</f>
        <v>0</v>
      </c>
      <c r="D146" s="221"/>
    </row>
    <row r="147" spans="2:6" x14ac:dyDescent="0.25">
      <c r="B147" s="210" t="s">
        <v>53</v>
      </c>
      <c r="C147" s="214">
        <f>(C146+C148)/2</f>
        <v>0</v>
      </c>
      <c r="D147" s="221"/>
    </row>
    <row r="148" spans="2:6" x14ac:dyDescent="0.25">
      <c r="B148" s="213" t="b">
        <f>IF(Nb_sat="1 satellite",T_satellite)</f>
        <v>0</v>
      </c>
      <c r="C148" s="214" t="b">
        <f>IF(Nb_sat="1 satellite",0)</f>
        <v>0</v>
      </c>
    </row>
    <row r="149" spans="2:6" x14ac:dyDescent="0.25">
      <c r="B149" s="213">
        <f>(B148+B150)/2</f>
        <v>0</v>
      </c>
      <c r="C149" s="214" t="b">
        <f>IF(Nb_sat="1 satellite",Alt_sat-V_satellite*(H49-T_satellite)+E129*sS*Altitude_culmi/H49*zZ_sat+E130*sS/2*Altitude_culmi/H49*tT_sat)</f>
        <v>0</v>
      </c>
      <c r="D149" s="221"/>
    </row>
    <row r="150" spans="2:6" x14ac:dyDescent="0.25">
      <c r="B150" s="213" t="b">
        <f>IF(Nb_sat="1 satellite",H49)</f>
        <v>0</v>
      </c>
      <c r="C150" s="214" t="b">
        <f>IF(Nb_sat="1 satellite",0)</f>
        <v>0</v>
      </c>
      <c r="E150" s="239" t="s">
        <v>176</v>
      </c>
      <c r="F150" s="240">
        <f ca="1">(T_balistique-T_satellite)/T_balistique</f>
        <v>0.91841491841491896</v>
      </c>
    </row>
    <row r="151" spans="2:6" x14ac:dyDescent="0.25">
      <c r="B151" s="213" t="b">
        <f>IF(Nb_sat="1 satellite",H49+E129*sS/2*zZ_sat-E130*sS*tT_sat)</f>
        <v>0</v>
      </c>
      <c r="C151" s="214" t="b">
        <f>IF(Nb_sat="1 satellite",Alt_sat-V_satellite*(H49-T_satellite)+E129*sS*Altitude_culmi/H49*zZ_sat-E130*sS/2*Altitude_culmi/H49*tT_sat)</f>
        <v>0</v>
      </c>
      <c r="E151" s="237" t="s">
        <v>177</v>
      </c>
      <c r="F151" s="238">
        <f ca="1">V_satellite*(T_balistique-T_satellite)/Alt_sat</f>
        <v>1.2159134421071305</v>
      </c>
    </row>
    <row r="152" spans="2:6" x14ac:dyDescent="0.25">
      <c r="B152" s="213" t="b">
        <f>IF(Nb_sat="1 satellite",H49)</f>
        <v>0</v>
      </c>
      <c r="C152" s="216" t="b">
        <f>IF(Nb_sat="1 satellite",0)</f>
        <v>0</v>
      </c>
    </row>
    <row r="153" spans="2:6" x14ac:dyDescent="0.25">
      <c r="B153" s="213" t="b">
        <f>IF(Nb_sat="1 satellite",H49-sS/2*zZ_sat-E130*sS*tT_sat)</f>
        <v>0</v>
      </c>
    </row>
    <row r="154" spans="2:6" x14ac:dyDescent="0.25">
      <c r="B154" s="215" t="b">
        <f>IF(Nb_sat="1 satellite",H49)</f>
        <v>0</v>
      </c>
      <c r="C154" s="228" t="s">
        <v>29</v>
      </c>
      <c r="D154" s="211" t="s">
        <v>3</v>
      </c>
    </row>
    <row r="155" spans="2:6" x14ac:dyDescent="0.25">
      <c r="C155" s="82">
        <f ca="1">Alt_para/2</f>
        <v>1000.78241432312</v>
      </c>
      <c r="D155" s="214">
        <f ca="1">X_para/4</f>
        <v>88.539516529512383</v>
      </c>
    </row>
    <row r="156" spans="2:6" x14ac:dyDescent="0.25">
      <c r="B156" s="210" t="s">
        <v>2</v>
      </c>
      <c r="C156" s="230">
        <f ca="1">Altitude_culmi/2</f>
        <v>1001.767878948463</v>
      </c>
      <c r="D156" s="216">
        <f ca="1">X_culmi+(Portee_balistique-X_culmi)*2/3</f>
        <v>546.80573412331341</v>
      </c>
    </row>
    <row r="157" spans="2:6" x14ac:dyDescent="0.25">
      <c r="B157" s="231">
        <f>T_para/4</f>
        <v>4.75</v>
      </c>
    </row>
    <row r="158" spans="2:6" x14ac:dyDescent="0.25">
      <c r="B158" s="229">
        <f ca="1">Temps_culmi + (T_balistique-Temps_culmi)/2</f>
        <v>31.250000000000114</v>
      </c>
      <c r="C158" s="228" t="s">
        <v>306</v>
      </c>
      <c r="D158" s="422" t="s">
        <v>308</v>
      </c>
      <c r="E158" s="422"/>
      <c r="F158" s="423" t="s">
        <v>308</v>
      </c>
    </row>
    <row r="159" spans="2:6" x14ac:dyDescent="0.25">
      <c r="C159" s="5">
        <v>0</v>
      </c>
      <c r="D159" s="82">
        <f t="shared" ref="D159:D174" ca="1" si="0">X_culmi+C159</f>
        <v>363.61629284210136</v>
      </c>
      <c r="E159" s="82"/>
      <c r="F159" s="214">
        <f t="shared" ref="F159:F174" ca="1" si="1">X_culmi-C159</f>
        <v>363.61629284210136</v>
      </c>
    </row>
    <row r="160" spans="2:6" x14ac:dyDescent="0.25">
      <c r="B160" s="210" t="s">
        <v>307</v>
      </c>
      <c r="C160" s="5">
        <v>23</v>
      </c>
      <c r="D160" s="82">
        <f t="shared" ca="1" si="0"/>
        <v>386.61629284210136</v>
      </c>
      <c r="E160" s="82"/>
      <c r="F160" s="214">
        <f t="shared" ca="1" si="1"/>
        <v>340.61629284210136</v>
      </c>
    </row>
    <row r="161" spans="2:6" x14ac:dyDescent="0.25">
      <c r="B161" s="231" t="e">
        <f ca="1">IF(AND(Altitude_culmi&gt;80, Altitude_culmi&lt;=350), 49, NA())</f>
        <v>#N/A</v>
      </c>
      <c r="C161" s="5">
        <v>23</v>
      </c>
      <c r="D161" s="82">
        <f t="shared" ca="1" si="0"/>
        <v>386.61629284210136</v>
      </c>
      <c r="E161" s="82"/>
      <c r="F161" s="214">
        <f t="shared" ca="1" si="1"/>
        <v>340.61629284210136</v>
      </c>
    </row>
    <row r="162" spans="2:6" x14ac:dyDescent="0.25">
      <c r="B162" s="231" t="e">
        <f ca="1">IF(AND(Altitude_culmi&gt;80, Altitude_culmi&lt;=350), 49, NA())</f>
        <v>#N/A</v>
      </c>
      <c r="C162" s="5">
        <v>0</v>
      </c>
      <c r="D162" s="82">
        <f t="shared" ca="1" si="0"/>
        <v>363.61629284210136</v>
      </c>
      <c r="E162" s="82"/>
      <c r="F162" s="214">
        <f t="shared" ca="1" si="1"/>
        <v>363.61629284210136</v>
      </c>
    </row>
    <row r="163" spans="2:6" x14ac:dyDescent="0.25">
      <c r="B163" s="231" t="e">
        <f ca="1">IF(AND(Altitude_culmi&gt;80, Altitude_culmi&lt;=350), 43, NA())</f>
        <v>#N/A</v>
      </c>
      <c r="C163" s="5">
        <v>23</v>
      </c>
      <c r="D163" s="82">
        <f t="shared" ca="1" si="0"/>
        <v>386.61629284210136</v>
      </c>
      <c r="E163" s="82"/>
      <c r="F163" s="214">
        <f t="shared" ca="1" si="1"/>
        <v>340.61629284210136</v>
      </c>
    </row>
    <row r="164" spans="2:6" x14ac:dyDescent="0.25">
      <c r="B164" s="231" t="e">
        <f ca="1">IF(AND(Altitude_culmi&gt;80, Altitude_culmi&lt;=350), 43, NA())</f>
        <v>#N/A</v>
      </c>
      <c r="C164" s="5">
        <v>23</v>
      </c>
      <c r="D164" s="82">
        <f t="shared" ca="1" si="0"/>
        <v>386.61629284210136</v>
      </c>
      <c r="E164" s="82"/>
      <c r="F164" s="214">
        <f t="shared" ca="1" si="1"/>
        <v>340.61629284210136</v>
      </c>
    </row>
    <row r="165" spans="2:6" x14ac:dyDescent="0.25">
      <c r="B165" s="231" t="e">
        <f ca="1">IF(AND(Altitude_culmi&gt;80, Altitude_culmi&lt;=350), 43, NA())</f>
        <v>#N/A</v>
      </c>
      <c r="C165" s="5">
        <v>8</v>
      </c>
      <c r="D165" s="82">
        <f t="shared" ca="1" si="0"/>
        <v>371.61629284210136</v>
      </c>
      <c r="E165" s="82"/>
      <c r="F165" s="214">
        <f t="shared" ca="1" si="1"/>
        <v>355.61629284210136</v>
      </c>
    </row>
    <row r="166" spans="2:6" x14ac:dyDescent="0.25">
      <c r="B166" s="231" t="e">
        <f ca="1">IF(AND(Altitude_culmi&gt;80, Altitude_culmi&lt;=350), 0.5, NA())</f>
        <v>#N/A</v>
      </c>
      <c r="C166" s="5">
        <v>8</v>
      </c>
      <c r="D166" s="82">
        <f t="shared" ca="1" si="0"/>
        <v>371.61629284210136</v>
      </c>
      <c r="E166" s="82"/>
      <c r="F166" s="214">
        <f t="shared" ca="1" si="1"/>
        <v>355.61629284210136</v>
      </c>
    </row>
    <row r="167" spans="2:6" x14ac:dyDescent="0.25">
      <c r="B167" s="231" t="e">
        <f ca="1">IF(AND(Altitude_culmi&gt;80, Altitude_culmi&lt;=350), 0.5, NA())</f>
        <v>#N/A</v>
      </c>
      <c r="C167" s="5">
        <v>23</v>
      </c>
      <c r="D167" s="82">
        <f t="shared" ca="1" si="0"/>
        <v>386.61629284210136</v>
      </c>
      <c r="E167" s="82"/>
      <c r="F167" s="214">
        <f t="shared" ca="1" si="1"/>
        <v>340.61629284210136</v>
      </c>
    </row>
    <row r="168" spans="2:6" x14ac:dyDescent="0.25">
      <c r="B168" s="231" t="e">
        <f ca="1">IF(AND(Altitude_culmi&gt;80, Altitude_culmi&lt;=350), 27, NA())</f>
        <v>#N/A</v>
      </c>
      <c r="C168" s="5">
        <v>8</v>
      </c>
      <c r="D168" s="82">
        <f t="shared" ca="1" si="0"/>
        <v>371.61629284210136</v>
      </c>
      <c r="E168" s="82"/>
      <c r="F168" s="214">
        <f t="shared" ca="1" si="1"/>
        <v>355.61629284210136</v>
      </c>
    </row>
    <row r="169" spans="2:6" x14ac:dyDescent="0.25">
      <c r="B169" s="231" t="e">
        <f ca="1">IF(AND(Altitude_culmi&gt;80, Altitude_culmi&lt;=350), 27, NA())</f>
        <v>#N/A</v>
      </c>
      <c r="C169" s="5">
        <v>7.6</v>
      </c>
      <c r="D169" s="82">
        <f t="shared" ca="1" si="0"/>
        <v>371.21629284210138</v>
      </c>
      <c r="E169" s="82"/>
      <c r="F169" s="214">
        <f t="shared" ca="1" si="1"/>
        <v>356.01629284210134</v>
      </c>
    </row>
    <row r="170" spans="2:6" x14ac:dyDescent="0.25">
      <c r="B170" s="231" t="e">
        <f ca="1">IF(AND(Altitude_culmi&gt;80, Altitude_culmi&lt;=350), 27, NA())</f>
        <v>#N/A</v>
      </c>
      <c r="C170" s="5">
        <v>6.8</v>
      </c>
      <c r="D170" s="82">
        <f t="shared" ca="1" si="0"/>
        <v>370.41629284210137</v>
      </c>
      <c r="E170" s="82"/>
      <c r="F170" s="214">
        <f t="shared" ca="1" si="1"/>
        <v>356.81629284210135</v>
      </c>
    </row>
    <row r="171" spans="2:6" x14ac:dyDescent="0.25">
      <c r="B171" s="231" t="e">
        <f ca="1">IF(AND(Altitude_culmi&gt;80, Altitude_culmi&lt;=350), 29, NA())</f>
        <v>#N/A</v>
      </c>
      <c r="C171" s="5">
        <v>6</v>
      </c>
      <c r="D171" s="82">
        <f t="shared" ca="1" si="0"/>
        <v>369.61629284210136</v>
      </c>
      <c r="E171" s="82"/>
      <c r="F171" s="214">
        <f t="shared" ca="1" si="1"/>
        <v>357.61629284210136</v>
      </c>
    </row>
    <row r="172" spans="2:6" x14ac:dyDescent="0.25">
      <c r="B172" s="231" t="e">
        <f ca="1">IF(AND(Altitude_culmi&gt;80, Altitude_culmi&lt;=350), 31, NA())</f>
        <v>#N/A</v>
      </c>
      <c r="C172" s="5">
        <v>5</v>
      </c>
      <c r="D172" s="82">
        <f t="shared" ca="1" si="0"/>
        <v>368.61629284210136</v>
      </c>
      <c r="E172" s="82"/>
      <c r="F172" s="214">
        <f t="shared" ca="1" si="1"/>
        <v>358.61629284210136</v>
      </c>
    </row>
    <row r="173" spans="2:6" x14ac:dyDescent="0.25">
      <c r="B173" s="231" t="e">
        <f ca="1">IF(AND(Altitude_culmi&gt;80, Altitude_culmi&lt;=350), 32, NA())</f>
        <v>#N/A</v>
      </c>
      <c r="C173" s="5">
        <v>3.8</v>
      </c>
      <c r="D173" s="82">
        <f t="shared" ca="1" si="0"/>
        <v>367.41629284210137</v>
      </c>
      <c r="E173" s="82"/>
      <c r="F173" s="214">
        <f t="shared" ca="1" si="1"/>
        <v>359.81629284210135</v>
      </c>
    </row>
    <row r="174" spans="2:6" x14ac:dyDescent="0.25">
      <c r="B174" s="231" t="e">
        <f ca="1">IF(AND(Altitude_culmi&gt;80, Altitude_culmi&lt;=350), 33, NA())</f>
        <v>#N/A</v>
      </c>
      <c r="C174" s="421">
        <v>0</v>
      </c>
      <c r="D174" s="230">
        <f t="shared" ca="1" si="0"/>
        <v>363.61629284210136</v>
      </c>
      <c r="E174" s="230"/>
      <c r="F174" s="216">
        <f t="shared" ca="1" si="1"/>
        <v>363.61629284210136</v>
      </c>
    </row>
    <row r="175" spans="2:6" x14ac:dyDescent="0.25">
      <c r="B175" s="231" t="e">
        <f ca="1">IF(AND(Altitude_culmi&gt;80, Altitude_culmi&lt;=350), 34, NA())</f>
        <v>#N/A</v>
      </c>
    </row>
    <row r="176" spans="2:6" x14ac:dyDescent="0.25">
      <c r="B176" s="229" t="e">
        <f ca="1">IF(AND(Altitude_culmi&gt;80, Altitude_culmi&lt;=350), 35, NA())</f>
        <v>#N/A</v>
      </c>
      <c r="C176" s="228" t="s">
        <v>310</v>
      </c>
      <c r="D176" s="228" t="s">
        <v>311</v>
      </c>
      <c r="E176" s="228"/>
      <c r="F176" s="211" t="s">
        <v>311</v>
      </c>
    </row>
    <row r="177" spans="2:6" x14ac:dyDescent="0.25">
      <c r="C177" s="5">
        <v>0</v>
      </c>
      <c r="D177" s="82">
        <f t="shared" ref="D177:D197" ca="1" si="2">X_culmi+C177</f>
        <v>363.61629284210136</v>
      </c>
      <c r="E177" s="82"/>
      <c r="F177" s="214">
        <f t="shared" ref="F177:F197" ca="1" si="3">X_culmi-C177</f>
        <v>363.61629284210136</v>
      </c>
    </row>
    <row r="178" spans="2:6" x14ac:dyDescent="0.25">
      <c r="B178" s="210" t="s">
        <v>309</v>
      </c>
      <c r="C178" s="5">
        <v>0</v>
      </c>
      <c r="D178" s="82">
        <f t="shared" ca="1" si="2"/>
        <v>363.61629284210136</v>
      </c>
      <c r="E178" s="82"/>
      <c r="F178" s="214">
        <f t="shared" ca="1" si="3"/>
        <v>363.61629284210136</v>
      </c>
    </row>
    <row r="179" spans="2:6" x14ac:dyDescent="0.25">
      <c r="B179" s="231">
        <f ca="1">IF(Altitude_culmi&gt;350, 324, NA())</f>
        <v>324</v>
      </c>
      <c r="C179" s="5">
        <v>10</v>
      </c>
      <c r="D179" s="82">
        <f t="shared" ca="1" si="2"/>
        <v>373.61629284210136</v>
      </c>
      <c r="E179" s="82"/>
      <c r="F179" s="214">
        <f t="shared" ca="1" si="3"/>
        <v>353.61629284210136</v>
      </c>
    </row>
    <row r="180" spans="2:6" x14ac:dyDescent="0.25">
      <c r="B180" s="231">
        <f ca="1">IF(Altitude_culmi&gt;350, 300, NA())</f>
        <v>300</v>
      </c>
      <c r="C180" s="5">
        <v>0</v>
      </c>
      <c r="D180" s="82">
        <f t="shared" ca="1" si="2"/>
        <v>363.61629284210136</v>
      </c>
      <c r="E180" s="82"/>
      <c r="F180" s="214">
        <f t="shared" ca="1" si="3"/>
        <v>363.61629284210136</v>
      </c>
    </row>
    <row r="181" spans="2:6" x14ac:dyDescent="0.25">
      <c r="B181" s="231">
        <f ca="1">IF(Altitude_culmi&gt;350, 280, NA())</f>
        <v>280</v>
      </c>
      <c r="C181" s="5">
        <v>10</v>
      </c>
      <c r="D181" s="82">
        <f t="shared" ca="1" si="2"/>
        <v>373.61629284210136</v>
      </c>
      <c r="E181" s="82"/>
      <c r="F181" s="214">
        <f t="shared" ca="1" si="3"/>
        <v>353.61629284210136</v>
      </c>
    </row>
    <row r="182" spans="2:6" x14ac:dyDescent="0.25">
      <c r="B182" s="231">
        <f ca="1">IF(Altitude_culmi&gt;350, 280, NA())</f>
        <v>280</v>
      </c>
      <c r="C182" s="5">
        <v>13</v>
      </c>
      <c r="D182" s="82">
        <f t="shared" ca="1" si="2"/>
        <v>376.61629284210136</v>
      </c>
      <c r="E182" s="82"/>
      <c r="F182" s="214">
        <f t="shared" ca="1" si="3"/>
        <v>350.61629284210136</v>
      </c>
    </row>
    <row r="183" spans="2:6" x14ac:dyDescent="0.25">
      <c r="B183" s="231">
        <f ca="1">IF(Altitude_culmi&gt;350, 280, NA())</f>
        <v>280</v>
      </c>
      <c r="C183" s="5">
        <v>17</v>
      </c>
      <c r="D183" s="82">
        <f t="shared" ca="1" si="2"/>
        <v>380.61629284210136</v>
      </c>
      <c r="E183" s="82"/>
      <c r="F183" s="214">
        <f t="shared" ca="1" si="3"/>
        <v>346.61629284210136</v>
      </c>
    </row>
    <row r="184" spans="2:6" x14ac:dyDescent="0.25">
      <c r="B184" s="231">
        <f ca="1">IF(Altitude_culmi&gt;350, 200, NA())</f>
        <v>200</v>
      </c>
      <c r="C184" s="5">
        <v>20</v>
      </c>
      <c r="D184" s="82">
        <f t="shared" ca="1" si="2"/>
        <v>383.61629284210136</v>
      </c>
      <c r="E184" s="82"/>
      <c r="F184" s="214">
        <f t="shared" ca="1" si="3"/>
        <v>343.61629284210136</v>
      </c>
    </row>
    <row r="185" spans="2:6" x14ac:dyDescent="0.25">
      <c r="B185" s="231">
        <f ca="1">IF(Altitude_culmi&gt;350, 160, NA())</f>
        <v>160</v>
      </c>
      <c r="C185" s="5">
        <v>25</v>
      </c>
      <c r="D185" s="82">
        <f t="shared" ca="1" si="2"/>
        <v>388.61629284210136</v>
      </c>
      <c r="E185" s="82"/>
      <c r="F185" s="214">
        <f t="shared" ca="1" si="3"/>
        <v>338.61629284210136</v>
      </c>
    </row>
    <row r="186" spans="2:6" x14ac:dyDescent="0.25">
      <c r="B186" s="231">
        <f ca="1">IF(Altitude_culmi&gt;350, 115, NA())</f>
        <v>115</v>
      </c>
      <c r="C186" s="5">
        <v>30</v>
      </c>
      <c r="D186" s="82">
        <f t="shared" ca="1" si="2"/>
        <v>393.61629284210136</v>
      </c>
      <c r="E186" s="82"/>
      <c r="F186" s="214">
        <f t="shared" ca="1" si="3"/>
        <v>333.61629284210136</v>
      </c>
    </row>
    <row r="187" spans="2:6" x14ac:dyDescent="0.25">
      <c r="B187" s="231">
        <f ca="1">IF(Altitude_culmi&gt;350, 90, NA())</f>
        <v>90</v>
      </c>
      <c r="C187" s="5">
        <v>36</v>
      </c>
      <c r="D187" s="82">
        <f t="shared" ca="1" si="2"/>
        <v>399.61629284210136</v>
      </c>
      <c r="E187" s="82"/>
      <c r="F187" s="214">
        <f t="shared" ca="1" si="3"/>
        <v>327.61629284210136</v>
      </c>
    </row>
    <row r="188" spans="2:6" x14ac:dyDescent="0.25">
      <c r="B188" s="231">
        <f ca="1">IF(Altitude_culmi&gt;350, 57, NA())</f>
        <v>57</v>
      </c>
      <c r="C188" s="5">
        <v>48</v>
      </c>
      <c r="D188" s="82">
        <f t="shared" ca="1" si="2"/>
        <v>411.61629284210136</v>
      </c>
      <c r="E188" s="82"/>
      <c r="F188" s="214">
        <f t="shared" ca="1" si="3"/>
        <v>315.61629284210136</v>
      </c>
    </row>
    <row r="189" spans="2:6" x14ac:dyDescent="0.25">
      <c r="B189" s="231">
        <f ca="1">IF(Altitude_culmi&gt;350, 40, NA())</f>
        <v>40</v>
      </c>
      <c r="C189" s="5">
        <v>62</v>
      </c>
      <c r="D189" s="82">
        <f t="shared" ca="1" si="2"/>
        <v>425.61629284210136</v>
      </c>
      <c r="E189" s="82"/>
      <c r="F189" s="214">
        <f t="shared" ca="1" si="3"/>
        <v>301.61629284210136</v>
      </c>
    </row>
    <row r="190" spans="2:6" x14ac:dyDescent="0.25">
      <c r="B190" s="231">
        <f ca="1">IF(Altitude_culmi&gt;350, 20, NA())</f>
        <v>20</v>
      </c>
      <c r="C190" s="5">
        <v>37</v>
      </c>
      <c r="D190" s="82">
        <f t="shared" ca="1" si="2"/>
        <v>400.61629284210136</v>
      </c>
      <c r="E190" s="82"/>
      <c r="F190" s="214">
        <f t="shared" ca="1" si="3"/>
        <v>326.61629284210136</v>
      </c>
    </row>
    <row r="191" spans="2:6" x14ac:dyDescent="0.25">
      <c r="B191" s="231">
        <f ca="1">IF(Altitude_culmi&gt;350, 0.5, NA())</f>
        <v>0.5</v>
      </c>
      <c r="C191" s="5">
        <v>30</v>
      </c>
      <c r="D191" s="82">
        <f t="shared" ca="1" si="2"/>
        <v>393.61629284210136</v>
      </c>
      <c r="E191" s="82"/>
      <c r="F191" s="214">
        <f t="shared" ca="1" si="3"/>
        <v>333.61629284210136</v>
      </c>
    </row>
    <row r="192" spans="2:6" x14ac:dyDescent="0.25">
      <c r="B192" s="231">
        <f ca="1">IF(Altitude_culmi&gt;350, 0.5, NA())</f>
        <v>0.5</v>
      </c>
      <c r="C192" s="5">
        <v>15</v>
      </c>
      <c r="D192" s="82">
        <f t="shared" ca="1" si="2"/>
        <v>378.61629284210136</v>
      </c>
      <c r="E192" s="82"/>
      <c r="F192" s="214">
        <f t="shared" ca="1" si="3"/>
        <v>348.61629284210136</v>
      </c>
    </row>
    <row r="193" spans="2:6" x14ac:dyDescent="0.25">
      <c r="B193" s="231">
        <f ca="1">IF(Altitude_culmi&gt;350, 15, NA())</f>
        <v>15</v>
      </c>
      <c r="C193" s="5">
        <v>0</v>
      </c>
      <c r="D193" s="82">
        <f t="shared" ca="1" si="2"/>
        <v>363.61629284210136</v>
      </c>
      <c r="E193" s="82"/>
      <c r="F193" s="214">
        <f t="shared" ca="1" si="3"/>
        <v>363.61629284210136</v>
      </c>
    </row>
    <row r="194" spans="2:6" x14ac:dyDescent="0.25">
      <c r="B194" s="231">
        <f ca="1">IF(Altitude_culmi&gt;350, 30, NA())</f>
        <v>30</v>
      </c>
      <c r="C194" s="5">
        <v>0</v>
      </c>
      <c r="D194" s="82">
        <f t="shared" ca="1" si="2"/>
        <v>363.61629284210136</v>
      </c>
      <c r="E194" s="82"/>
      <c r="F194" s="214">
        <f t="shared" ca="1" si="3"/>
        <v>363.61629284210136</v>
      </c>
    </row>
    <row r="195" spans="2:6" x14ac:dyDescent="0.25">
      <c r="B195" s="231">
        <f ca="1">IF(Altitude_culmi&gt;350, 37, NA())</f>
        <v>37</v>
      </c>
      <c r="C195" s="5">
        <v>17</v>
      </c>
      <c r="D195" s="82">
        <f t="shared" ca="1" si="2"/>
        <v>380.61629284210136</v>
      </c>
      <c r="E195" s="82"/>
      <c r="F195" s="214">
        <f t="shared" ca="1" si="3"/>
        <v>346.61629284210136</v>
      </c>
    </row>
    <row r="196" spans="2:6" x14ac:dyDescent="0.25">
      <c r="B196" s="231">
        <f ca="1">IF(Altitude_culmi&gt;350, 67, NA())</f>
        <v>67</v>
      </c>
      <c r="C196" s="5">
        <v>11</v>
      </c>
      <c r="D196" s="82">
        <f t="shared" ca="1" si="2"/>
        <v>374.61629284210136</v>
      </c>
      <c r="E196" s="82"/>
      <c r="F196" s="214">
        <f t="shared" ca="1" si="3"/>
        <v>352.61629284210136</v>
      </c>
    </row>
    <row r="197" spans="2:6" x14ac:dyDescent="0.25">
      <c r="B197" s="231">
        <f ca="1">IF(Altitude_culmi&gt;350, 67, NA())</f>
        <v>67</v>
      </c>
      <c r="C197" s="421">
        <v>0</v>
      </c>
      <c r="D197" s="230">
        <f t="shared" ca="1" si="2"/>
        <v>363.61629284210136</v>
      </c>
      <c r="E197" s="230"/>
      <c r="F197" s="216">
        <f t="shared" ca="1" si="3"/>
        <v>363.61629284210136</v>
      </c>
    </row>
    <row r="198" spans="2:6" x14ac:dyDescent="0.25">
      <c r="B198" s="231">
        <f ca="1">IF(Altitude_culmi&gt;350, 100, NA())</f>
        <v>100</v>
      </c>
    </row>
    <row r="199" spans="2:6" x14ac:dyDescent="0.25">
      <c r="B199" s="229">
        <f ca="1">IF(Altitude_culmi&gt;350, 100, NA())</f>
        <v>100</v>
      </c>
    </row>
  </sheetData>
  <sheetProtection password="C6AC" sheet="1"/>
  <protectedRanges>
    <protectedRange sqref="C25" name="Plage1"/>
  </protectedRanges>
  <mergeCells count="41">
    <mergeCell ref="C2:D3"/>
    <mergeCell ref="C7:D7"/>
    <mergeCell ref="C8:D8"/>
    <mergeCell ref="C9:D9"/>
    <mergeCell ref="C6:D6"/>
    <mergeCell ref="C4:D4"/>
    <mergeCell ref="H33:I33"/>
    <mergeCell ref="H32:I32"/>
    <mergeCell ref="F28:G28"/>
    <mergeCell ref="H31:I31"/>
    <mergeCell ref="A38:D38"/>
    <mergeCell ref="H34:I34"/>
    <mergeCell ref="F34:G34"/>
    <mergeCell ref="F33:G33"/>
    <mergeCell ref="F32:G32"/>
    <mergeCell ref="F38:G38"/>
    <mergeCell ref="C22:D22"/>
    <mergeCell ref="C17:D17"/>
    <mergeCell ref="F23:G23"/>
    <mergeCell ref="F27:G27"/>
    <mergeCell ref="F26:G26"/>
    <mergeCell ref="F24:G24"/>
    <mergeCell ref="F25:G25"/>
    <mergeCell ref="C15:D15"/>
    <mergeCell ref="C10:D10"/>
    <mergeCell ref="C19:D19"/>
    <mergeCell ref="C20:D20"/>
    <mergeCell ref="C11:D11"/>
    <mergeCell ref="C13:D13"/>
    <mergeCell ref="C14:D14"/>
    <mergeCell ref="C18:D18"/>
    <mergeCell ref="F49:G49"/>
    <mergeCell ref="F40:G40"/>
    <mergeCell ref="F41:G41"/>
    <mergeCell ref="F42:G42"/>
    <mergeCell ref="F43:G43"/>
    <mergeCell ref="F48:G48"/>
    <mergeCell ref="F44:G44"/>
    <mergeCell ref="F45:G45"/>
    <mergeCell ref="F47:G47"/>
    <mergeCell ref="F46:G46"/>
  </mergeCells>
  <phoneticPr fontId="8" type="noConversion"/>
  <conditionalFormatting sqref="B26">
    <cfRule type="expression" dxfId="26" priority="89" stopIfTrue="1">
      <formula>NOT(OR(C25=F108,C25=F102,Nb_sat="1 satellite"))</formula>
    </cfRule>
  </conditionalFormatting>
  <conditionalFormatting sqref="C26">
    <cfRule type="expression" dxfId="25" priority="91" stopIfTrue="1">
      <formula>NOT(OR(C25=F108,C25=F102))</formula>
    </cfRule>
  </conditionalFormatting>
  <conditionalFormatting sqref="C30">
    <cfRule type="cellIs" dxfId="24" priority="42" stopIfTrue="1" operator="notBetween">
      <formula>5</formula>
      <formula>15</formula>
    </cfRule>
  </conditionalFormatting>
  <conditionalFormatting sqref="D24">
    <cfRule type="expression" dxfId="23" priority="39" stopIfTrue="1">
      <formula>Nb_sat="0 satellite"</formula>
    </cfRule>
  </conditionalFormatting>
  <conditionalFormatting sqref="D25">
    <cfRule type="expression" dxfId="22" priority="2" stopIfTrue="1">
      <formula>Nb_sat="0 satellite"</formula>
    </cfRule>
  </conditionalFormatting>
  <conditionalFormatting sqref="D26:D29 D31:D33">
    <cfRule type="expression" dxfId="21" priority="59" stopIfTrue="1">
      <formula>Nb_sat="0 satellite"</formula>
    </cfRule>
  </conditionalFormatting>
  <conditionalFormatting sqref="D30">
    <cfRule type="expression" dxfId="20" priority="40" stopIfTrue="1">
      <formula>Nb_sat="0 satellite"</formula>
    </cfRule>
    <cfRule type="cellIs" dxfId="19" priority="49" stopIfTrue="1" operator="notBetween">
      <formula>5</formula>
      <formula>15</formula>
    </cfRule>
  </conditionalFormatting>
  <conditionalFormatting sqref="F25">
    <cfRule type="expression" dxfId="18" priority="26" stopIfTrue="1">
      <formula>Nb_sat="0 satellite"</formula>
    </cfRule>
  </conditionalFormatting>
  <conditionalFormatting sqref="F34:I34 F48:M48">
    <cfRule type="expression" dxfId="17" priority="22" stopIfTrue="1">
      <formula>Nb_sat="0 satellite"</formula>
    </cfRule>
  </conditionalFormatting>
  <conditionalFormatting sqref="F49:M49">
    <cfRule type="expression" dxfId="16" priority="21" stopIfTrue="1">
      <formula>Nb_sat="0 satellite"</formula>
    </cfRule>
  </conditionalFormatting>
  <conditionalFormatting sqref="H27 H46">
    <cfRule type="expression" dxfId="15" priority="4" stopIfTrue="1">
      <formula>ABS(Temps_culmi-T_para)&gt;2</formula>
    </cfRule>
  </conditionalFormatting>
  <conditionalFormatting sqref="H32:I32">
    <cfRule type="cellIs" dxfId="14" priority="14" stopIfTrue="1" operator="equal">
      <formula>"Brun/Orange…"</formula>
    </cfRule>
  </conditionalFormatting>
  <conditionalFormatting sqref="H33:I33">
    <cfRule type="cellIs" dxfId="13" priority="13" stopIfTrue="1" operator="equal">
      <formula>"Rouge…"</formula>
    </cfRule>
  </conditionalFormatting>
  <conditionalFormatting sqref="H25:M25">
    <cfRule type="expression" dxfId="12" priority="41" stopIfTrue="1">
      <formula>Nb_sat="0 satellite"</formula>
    </cfRule>
  </conditionalFormatting>
  <conditionalFormatting sqref="J28 J45">
    <cfRule type="expression" dxfId="11" priority="6" stopIfTrue="1">
      <formula>AND(Portee_balistique&gt;200,LEFT(Propu,2)="p2")</formula>
    </cfRule>
  </conditionalFormatting>
  <conditionalFormatting sqref="K23 K41">
    <cfRule type="expression" dxfId="10" priority="44" stopIfTrue="1">
      <formula>AND(Vsortie_de_rampe&lt;18, OR(LEFT(Type_fusee,1)=",",LEFT(Type_fusee,4)="Mini",LEFT(Type_fusee,1)="R"))</formula>
    </cfRule>
    <cfRule type="expression" dxfId="9" priority="45" stopIfTrue="1">
      <formula>AND(Vsortie_de_rampe&lt;20, RIGHT(Type_fusee,1)=".")</formula>
    </cfRule>
  </conditionalFormatting>
  <conditionalFormatting sqref="K40">
    <cfRule type="expression" dxfId="8" priority="34" stopIfTrue="1">
      <formula>AND( $K$21=0, OR( $I$21&gt;0, $J$21&gt;0 ) )</formula>
    </cfRule>
  </conditionalFormatting>
  <conditionalFormatting sqref="N33">
    <cfRule type="expression" dxfId="7" priority="15" stopIfTrue="1">
      <formula>ROUND(SUM(C23:L34),0)=1914</formula>
    </cfRule>
  </conditionalFormatting>
  <conditionalFormatting sqref="N34">
    <cfRule type="expression" dxfId="6" priority="16" stopIfTrue="1">
      <formula>$N$34="propu NOK"</formula>
    </cfRule>
  </conditionalFormatting>
  <dataValidations count="14">
    <dataValidation type="decimal" operator="greaterThanOrEqual" showErrorMessage="1" sqref="H40:K40 C29 C26 D26:D27" xr:uid="{F73B2C6C-FF1F-9541-B294-581EAE03940D}">
      <formula1>0</formula1>
    </dataValidation>
    <dataValidation type="list" allowBlank="1" showInputMessage="1" showErrorMessage="1" sqref="H50" xr:uid="{7F77F225-6D03-4D40-9887-F691460AB89F}">
      <formula1>gao</formula1>
    </dataValidation>
    <dataValidation operator="greaterThanOrEqual" showErrorMessage="1" sqref="D29 C27" xr:uid="{7893EC0B-AF40-0E45-B830-EB69405F86AA}"/>
    <dataValidation type="decimal" errorStyle="warning" allowBlank="1" showErrorMessage="1" errorTitle="Cx para" error="Le Cx du parachute est souvent compris entre 0 et 2._x000a_Cx of parachute might be between 0 a 2." sqref="C28:D28" xr:uid="{DB73182A-CBAE-CB4E-B0FB-F47D9396DDDF}">
      <formula1>0</formula1>
      <formula2>2</formula2>
    </dataValidation>
    <dataValidation sqref="C11:D11" xr:uid="{20D451B8-BC72-254B-B59C-F134150F4F1C}"/>
    <dataValidation operator="greaterThanOrEqual" sqref="C10:D10" xr:uid="{1AA622F8-B2C5-5649-BDD2-36BFF6D9DFFC}"/>
    <dataValidation type="decimal" errorStyle="warning" showErrorMessage="1" errorTitle="Cx" error="Le Cx est souvent compris entre 0,3 et 0,7._x000a_Cx may be between 0,3 &amp; 0,7." sqref="C15:D15" xr:uid="{0869A7A3-B452-5042-B523-27BE48ABC27A}">
      <formula1>0.3</formula1>
      <formula2>0.7</formula2>
    </dataValidation>
    <dataValidation type="decimal" operator="greaterThanOrEqual" allowBlank="1" showErrorMessage="1" sqref="C18:D18" xr:uid="{0E5A810C-381A-5946-8F4C-1E03524CCFA7}">
      <formula1>0</formula1>
    </dataValidation>
    <dataValidation type="decimal" errorStyle="information" allowBlank="1" showInputMessage="1" showErrorMessage="1" errorTitle="Angle de la rampe" error="Il est conseillé d'incliner à rampe entre 75° et 85° par rapport à l'horizontale._x000a_This Angle is recommended between 75° &amp; 85°." sqref="C19:D19" xr:uid="{FB0E1075-A2F8-A445-A1E3-BFA576042875}">
      <formula1>75</formula1>
      <formula2>85</formula2>
    </dataValidation>
    <dataValidation type="whole" operator="greaterThanOrEqual" allowBlank="1" showErrorMessage="1" sqref="C20:D20" xr:uid="{05AE5CAE-EEC9-5144-BDF7-AEB5F6768317}">
      <formula1>0</formula1>
    </dataValidation>
    <dataValidation type="whole" allowBlank="1" showErrorMessage="1" sqref="M40" xr:uid="{A53F8416-9C11-FD46-85BC-C07A290F8F05}">
      <formula1>-360</formula1>
      <formula2>360</formula2>
    </dataValidation>
    <dataValidation type="list" showInputMessage="1" showErrorMessage="1" sqref="D23" xr:uid="{4B0E120E-FA21-824C-900D-2346F40E4978}">
      <formula1>Menu_sat</formula1>
    </dataValidation>
    <dataValidation type="whole" operator="greaterThanOrEqual" showErrorMessage="1" sqref="B43 B45 B51 B53" xr:uid="{C264CD69-A1D3-0A47-A6BE-F3F8552A52F0}">
      <formula1>0</formula1>
    </dataValidation>
    <dataValidation type="list" showInputMessage="1" showErrorMessage="1" sqref="C25" xr:uid="{633D7300-3070-4647-B06B-AE4FE1944B00}">
      <formula1>IF(Depotage&lt;&gt;0,IF(LEFT(Type_propu,5)="Micro",$F$108,$F$103:$F$108),$F$102)</formula1>
    </dataValidation>
  </dataValidations>
  <hyperlinks>
    <hyperlink ref="B11" location="Stabilito!C17" display="Stabilito!C17" xr:uid="{95E1AAD1-320C-B54A-A31C-70F8CC967851}"/>
  </hyperlinks>
  <printOptions horizontalCentered="1" verticalCentered="1"/>
  <pageMargins left="7.874015748031496E-2" right="7.874015748031496E-2" top="7.874015748031496E-2" bottom="7.874015748031496E-2" header="0" footer="0"/>
  <pageSetup paperSize="9" firstPageNumber="0" orientation="landscape" horizontalDpi="300" verticalDpi="300"/>
  <headerFooter alignWithMargins="0"/>
  <ignoredErrors>
    <ignoredError sqref="B126:B132 B138:B149 C149 C151 C136:C138 C140:C147 C124:C130" formula="1"/>
    <ignoredError sqref="H44:I44 H47 J44:M44" evalError="1"/>
    <ignoredError sqref="G103:G107" numberStoredAsText="1"/>
    <ignoredError sqref="D24" unlockedFormula="1"/>
  </ignoredErrors>
  <drawing r:id="rId1"/>
  <legacyDrawing r:id="rId2"/>
  <oleObjects>
    <mc:AlternateContent xmlns:mc="http://schemas.openxmlformats.org/markup-compatibility/2006">
      <mc:Choice Requires="x14">
        <oleObject progId="Equation.3" shapeId="1425294" r:id="rId3">
          <objectPr defaultSize="0" autoPict="0" r:id="rId4">
            <anchor moveWithCells="1">
              <from>
                <xdr:col>1</xdr:col>
                <xdr:colOff>25400</xdr:colOff>
                <xdr:row>93</xdr:row>
                <xdr:rowOff>63500</xdr:rowOff>
              </from>
              <to>
                <xdr:col>4</xdr:col>
                <xdr:colOff>63500</xdr:colOff>
                <xdr:row>99</xdr:row>
                <xdr:rowOff>76200</xdr:rowOff>
              </to>
            </anchor>
          </objectPr>
        </oleObject>
      </mc:Choice>
      <mc:Fallback>
        <oleObject progId="Equation.3" shapeId="1425294" r:id="rId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24424" r:id="rId5" name="Spinner 1064">
              <controlPr defaultSize="0" print="0" autoPict="0">
                <anchor moveWithCells="1" sizeWithCells="1">
                  <from>
                    <xdr:col>3</xdr:col>
                    <xdr:colOff>698500</xdr:colOff>
                    <xdr:row>9</xdr:row>
                    <xdr:rowOff>12700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89" r:id="rId6" name="Spinner 1229">
              <controlPr defaultSize="0" print="0" autoPict="0">
                <anchor moveWithCells="1" sizeWithCells="1">
                  <from>
                    <xdr:col>1</xdr:col>
                    <xdr:colOff>1079500</xdr:colOff>
                    <xdr:row>42</xdr:row>
                    <xdr:rowOff>12700</xdr:rowOff>
                  </from>
                  <to>
                    <xdr:col>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0" r:id="rId7" name="Spinner 1230">
              <controlPr defaultSize="0" print="0" autoPict="0">
                <anchor moveWithCells="1" sizeWithCells="1">
                  <from>
                    <xdr:col>1</xdr:col>
                    <xdr:colOff>1079500</xdr:colOff>
                    <xdr:row>44</xdr:row>
                    <xdr:rowOff>12700</xdr:rowOff>
                  </from>
                  <to>
                    <xdr:col>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591" r:id="rId8" name="Spinner 1231">
              <controlPr defaultSize="0" print="0" autoPict="0">
                <anchor moveWithCells="1" sizeWithCells="1">
                  <from>
                    <xdr:col>1</xdr:col>
                    <xdr:colOff>1079500</xdr:colOff>
                    <xdr:row>50</xdr:row>
                    <xdr:rowOff>12700</xdr:rowOff>
                  </from>
                  <to>
                    <xdr:col>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462" r:id="rId9" name="Spinner 4550">
              <controlPr defaultSize="0" print="0" autoPict="0">
                <anchor moveWithCells="1" sizeWithCells="1">
                  <from>
                    <xdr:col>1</xdr:col>
                    <xdr:colOff>1079500</xdr:colOff>
                    <xdr:row>52</xdr:row>
                    <xdr:rowOff>12700</xdr:rowOff>
                  </from>
                  <to>
                    <xdr:col>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A0A7-AD4E-E44C-BCAC-AA55AD3B74D4}">
  <sheetPr codeName="Feuil3">
    <pageSetUpPr fitToPage="1"/>
  </sheetPr>
  <dimension ref="B75:B146"/>
  <sheetViews>
    <sheetView showGridLines="0" topLeftCell="A19" zoomScaleNormal="100" workbookViewId="0"/>
  </sheetViews>
  <sheetFormatPr baseColWidth="10" defaultRowHeight="12.5" x14ac:dyDescent="0.25"/>
  <sheetData>
    <row r="75" spans="2:2" x14ac:dyDescent="0.25">
      <c r="B75" t="s">
        <v>44</v>
      </c>
    </row>
    <row r="76" spans="2:2" x14ac:dyDescent="0.25">
      <c r="B76" t="str">
        <f>IF(Lang="Français","Ces courbes représentent la trajectoire de la fusée dans l'hypothèse d'une descente balistique (sans ouverture du parachute). ","These curves show the rocket trajectory in case of ballistic fall (without parachute).")</f>
        <v xml:space="preserve">Ces courbes représentent la trajectoire de la fusée dans l'hypothèse d'une descente balistique (sans ouverture du parachute). </v>
      </c>
    </row>
    <row r="77" spans="2:2" x14ac:dyDescent="0.25">
      <c r="B77" t="str">
        <f>IF(Lang="Français","L'accélération longitudinale gravitationnelle définit le mouvement (dérivée de la vitesse) : Acc = (Poussee - Traînée ± Poids) / m",IF(Lang="English","Longitudinal Gravitaionnal Acceleration defines the motion (velocity derivative) : Acc = (Thrust - Drag ± Weight)/m",""))</f>
        <v>L'accélération longitudinale gravitationnelle définit le mouvement (dérivée de la vitesse) : Acc = (Poussee - Traînée ± Poids) / m</v>
      </c>
    </row>
    <row r="78" spans="2:2" x14ac:dyDescent="0.25">
      <c r="B78" t="str">
        <f>IF(Lang="Français","La charge ''non-gravitationnelle'' vue par un capteur d'accélération (masse-ressort) est : Charge = (Poussée - Traînée) / m",IF(Lang="English","''Non-Gravitaionnal'' Load seen by an acceleration sensor (mass-spring) is : Load = (Thrust - Drag) / m",""))</f>
        <v>La charge ''non-gravitationnelle'' vue par un capteur d'accélération (masse-ressort) est : Charge = (Poussée - Traînée) / m</v>
      </c>
    </row>
    <row r="79" spans="2:2" x14ac:dyDescent="0.25">
      <c r="B79" t="str">
        <f>IF(Lang="Français","Exemples : Si Poussée = Poids, Vitesse constante, Acc nulle, Charge = 1G ; En chute libre, Acc = -1G, Charge = 0",IF(Lang="English","",""))</f>
        <v>Exemples : Si Poussée = Poids, Vitesse constante, Acc nulle, Charge = 1G ; En chute libre, Acc = -1G, Charge = 0</v>
      </c>
    </row>
    <row r="131" spans="2:2" ht="13" x14ac:dyDescent="0.3">
      <c r="B131" s="24" t="str">
        <f>IF(Lang="Français","Textes pour les graphiques :","Texts for graphics :")</f>
        <v>Textes pour les graphiques :</v>
      </c>
    </row>
    <row r="133" spans="2:2" x14ac:dyDescent="0.25">
      <c r="B133" t="str">
        <f>IF(Lang="Français","Traînée",IF(Lang="English","Drag",""))</f>
        <v>Traînée</v>
      </c>
    </row>
    <row r="134" spans="2:2" x14ac:dyDescent="0.25">
      <c r="B134" t="str">
        <f>IF(Lang="Français","Poussée",IF(Lang="English","Thrust",""))</f>
        <v>Poussée</v>
      </c>
    </row>
    <row r="135" spans="2:2" x14ac:dyDescent="0.25">
      <c r="B135" t="str">
        <f>IF(Lang="Français","Poids",IF(Lang="English","Weight",""))</f>
        <v>Poids</v>
      </c>
    </row>
    <row r="137" spans="2:2" x14ac:dyDescent="0.25">
      <c r="B137" t="str">
        <f>IF(Lang="Français","Accélération longitudinale",IF(Lang="English","Longitudinal Acceleration",""))</f>
        <v>Accélération longitudinale</v>
      </c>
    </row>
    <row r="138" spans="2:2" x14ac:dyDescent="0.25">
      <c r="B138" t="str">
        <f>IF(Lang="Français","Charge vue par un capteur",IF(Lang="English","Load seen by a sensor",""))</f>
        <v>Charge vue par un capteur</v>
      </c>
    </row>
    <row r="140" spans="2:2" x14ac:dyDescent="0.25">
      <c r="B140" t="str">
        <f>IF(Lang="Français","Vitesse",IF(Lang="English","Velocity",""))</f>
        <v>Vitesse</v>
      </c>
    </row>
    <row r="141" spans="2:2" x14ac:dyDescent="0.25">
      <c r="B141" t="str">
        <f>IF(Lang="Français","Vitesse [m/s]",IF(Lang="English","Velocity [m/s]",""))</f>
        <v>Vitesse [m/s]</v>
      </c>
    </row>
    <row r="143" spans="2:2" x14ac:dyDescent="0.25">
      <c r="B143" t="s">
        <v>6</v>
      </c>
    </row>
    <row r="144" spans="2:2" x14ac:dyDescent="0.25">
      <c r="B144" t="str">
        <f>IF(Lang="Français","Portée",IF(Lang="English","Range",""))</f>
        <v>Portée</v>
      </c>
    </row>
    <row r="146" spans="2:2" x14ac:dyDescent="0.25">
      <c r="B146" t="str">
        <f>IF(Lang="Français","Temps [s]",IF(Lang="English","Time [s]",""))</f>
        <v>Temps [s]</v>
      </c>
    </row>
  </sheetData>
  <sheetProtection password="C6AC" sheet="1"/>
  <phoneticPr fontId="8" type="noConversion"/>
  <printOptions horizontalCentered="1" verticalCentered="1"/>
  <pageMargins left="0.39370078740157483" right="0.39370078740157483" top="0.39370078740157483" bottom="0.39370078740157483" header="0" footer="0"/>
  <pageSetup scale="76" firstPageNumber="0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CF22-6776-D543-B528-C84391F2E860}">
  <sheetPr codeName="Feuil5">
    <pageSetUpPr fitToPage="1"/>
  </sheetPr>
  <dimension ref="A1:Z336"/>
  <sheetViews>
    <sheetView showGridLines="0" topLeftCell="A200" zoomScale="169" zoomScaleNormal="80" workbookViewId="0">
      <selection activeCell="V194" sqref="V194"/>
    </sheetView>
  </sheetViews>
  <sheetFormatPr baseColWidth="10" defaultRowHeight="12.5" x14ac:dyDescent="0.25"/>
  <cols>
    <col min="1" max="1" width="22.6328125" bestFit="1" customWidth="1"/>
  </cols>
  <sheetData>
    <row r="1" spans="1:26" ht="13" thickBot="1" x14ac:dyDescent="0.3">
      <c r="A1" s="362" t="str">
        <f>IF(Lang="Français","Moteur sélectionné","Selected motor")</f>
        <v>Moteur sélectionné</v>
      </c>
      <c r="B1" s="362" t="s">
        <v>32</v>
      </c>
    </row>
    <row r="2" spans="1:26" ht="13" thickBot="1" x14ac:dyDescent="0.3">
      <c r="A2" s="352" t="str">
        <f>Propu</f>
        <v>Orignal (Pro75-3G)</v>
      </c>
      <c r="B2" s="352">
        <f>VLOOKUP(A2,A26:B304,2,FALSE)</f>
        <v>284</v>
      </c>
      <c r="C2" s="363" t="s">
        <v>118</v>
      </c>
      <c r="D2" s="353">
        <f ca="1">INDIRECT(ADDRESS(B2,4))</f>
        <v>3739.0284999999994</v>
      </c>
      <c r="E2" s="363" t="s">
        <v>117</v>
      </c>
      <c r="F2" s="354">
        <f ca="1">INDIRECT(ADDRESS(B2,6))</f>
        <v>203.4941790441234</v>
      </c>
      <c r="G2" s="363" t="s">
        <v>59</v>
      </c>
      <c r="H2" s="355">
        <f ca="1">INDIRECT(ADDRESS(B2,8))</f>
        <v>3.5110000000000001</v>
      </c>
      <c r="I2" s="363" t="s">
        <v>276</v>
      </c>
      <c r="J2" s="356">
        <f ca="1">INDIRECT(ADDRESS(B2,10))</f>
        <v>1.8730000000000002</v>
      </c>
      <c r="K2" s="363" t="s">
        <v>61</v>
      </c>
      <c r="L2" s="355">
        <f ca="1">INDIRECT(ADDRESS(B2,12))</f>
        <v>1.6379999999999999</v>
      </c>
      <c r="M2" s="363" t="s">
        <v>60</v>
      </c>
      <c r="N2" s="357">
        <f ca="1">INDIRECT(ADDRESS(B2,14))</f>
        <v>243</v>
      </c>
      <c r="O2" s="363" t="s">
        <v>62</v>
      </c>
      <c r="P2" s="357">
        <f ca="1">INDIRECT(ADDRESS(B2,16))</f>
        <v>243</v>
      </c>
      <c r="Q2" s="363" t="s">
        <v>63</v>
      </c>
      <c r="R2" s="357">
        <f ca="1">INDIRECT(ADDRESS(B2,18))</f>
        <v>486</v>
      </c>
      <c r="S2" s="363" t="s">
        <v>64</v>
      </c>
      <c r="T2" s="357">
        <f ca="1">INDIRECT(ADDRESS(B2,20))</f>
        <v>75</v>
      </c>
      <c r="U2" s="363" t="s">
        <v>57</v>
      </c>
      <c r="V2" s="358" t="str">
        <f ca="1">INDIRECT(ADDRESS(B2,22))</f>
        <v>Fusex</v>
      </c>
      <c r="W2" s="463" t="s">
        <v>398</v>
      </c>
      <c r="X2" s="464">
        <f ca="1">INDIRECT(ADDRESS(B2,24))</f>
        <v>0</v>
      </c>
      <c r="Y2" s="463" t="s">
        <v>397</v>
      </c>
      <c r="Z2" s="358">
        <f ca="1">INDIRECT(ADDRESS(B2,26))</f>
        <v>0</v>
      </c>
    </row>
    <row r="3" spans="1:26" x14ac:dyDescent="0.25">
      <c r="A3" s="362" t="str">
        <f>IF(Lang="Français","Temps (en s)","Time (s)")</f>
        <v>Temps (en s)</v>
      </c>
      <c r="B3" s="364">
        <f t="shared" ref="B3:Y3" ca="1" si="0">INDIRECT(ADDRESS($B2+1,COLUMN(B3)))</f>
        <v>0</v>
      </c>
      <c r="C3" s="365">
        <f t="shared" ca="1" si="0"/>
        <v>0.01</v>
      </c>
      <c r="D3" s="365">
        <f t="shared" ca="1" si="0"/>
        <v>0.1</v>
      </c>
      <c r="E3" s="365">
        <f t="shared" ca="1" si="0"/>
        <v>0.12</v>
      </c>
      <c r="F3" s="365">
        <f t="shared" ca="1" si="0"/>
        <v>0.26</v>
      </c>
      <c r="G3" s="365">
        <f t="shared" ca="1" si="0"/>
        <v>0.71</v>
      </c>
      <c r="H3" s="365">
        <f t="shared" ca="1" si="0"/>
        <v>1.28</v>
      </c>
      <c r="I3" s="365">
        <f t="shared" ca="1" si="0"/>
        <v>2.0499999999999998</v>
      </c>
      <c r="J3" s="365">
        <f t="shared" ca="1" si="0"/>
        <v>2.41</v>
      </c>
      <c r="K3" s="365">
        <f t="shared" ca="1" si="0"/>
        <v>2.83</v>
      </c>
      <c r="L3" s="365">
        <f t="shared" ca="1" si="0"/>
        <v>3.25</v>
      </c>
      <c r="M3" s="365">
        <f t="shared" ca="1" si="0"/>
        <v>3.65</v>
      </c>
      <c r="N3" s="365">
        <f t="shared" ca="1" si="0"/>
        <v>3.8</v>
      </c>
      <c r="O3" s="365">
        <f t="shared" ca="1" si="0"/>
        <v>4</v>
      </c>
      <c r="P3" s="365">
        <f t="shared" ca="1" si="0"/>
        <v>4.0999999999999996</v>
      </c>
      <c r="Q3" s="365">
        <f t="shared" ca="1" si="0"/>
        <v>4.1900000000000004</v>
      </c>
      <c r="R3" s="365">
        <f t="shared" ca="1" si="0"/>
        <v>4.3099999999999996</v>
      </c>
      <c r="S3" s="365">
        <f t="shared" ca="1" si="0"/>
        <v>4.41</v>
      </c>
      <c r="T3" s="365">
        <f t="shared" ca="1" si="0"/>
        <v>4.5199999999999996</v>
      </c>
      <c r="U3" s="365">
        <f t="shared" ca="1" si="0"/>
        <v>4.5999999999999996</v>
      </c>
      <c r="V3" s="365">
        <f t="shared" ca="1" si="0"/>
        <v>4.6500000000000004</v>
      </c>
      <c r="W3" s="365">
        <f t="shared" ca="1" si="0"/>
        <v>4.67</v>
      </c>
      <c r="X3" s="365">
        <f ca="1">INDIRECT(ADDRESS($B2+1,COLUMN(X3)))</f>
        <v>4.68</v>
      </c>
      <c r="Y3" s="366">
        <f t="shared" ca="1" si="0"/>
        <v>1000</v>
      </c>
    </row>
    <row r="4" spans="1:26" ht="13" thickBot="1" x14ac:dyDescent="0.3">
      <c r="A4" s="379" t="str">
        <f>IF(Lang="Français","Poussée (en N)","Thrust (N)")</f>
        <v>Poussée (en N)</v>
      </c>
      <c r="B4" s="367">
        <f t="shared" ref="B4:Y4" ca="1" si="1">INDIRECT(ADDRESS($B2+2,COLUMN(B3)))</f>
        <v>27</v>
      </c>
      <c r="C4" s="368">
        <f t="shared" ca="1" si="1"/>
        <v>402.4</v>
      </c>
      <c r="D4" s="368">
        <f t="shared" ca="1" si="1"/>
        <v>1286</v>
      </c>
      <c r="E4" s="368">
        <f t="shared" ca="1" si="1"/>
        <v>1257</v>
      </c>
      <c r="F4" s="368">
        <f t="shared" ca="1" si="1"/>
        <v>1042</v>
      </c>
      <c r="G4" s="368">
        <f t="shared" ca="1" si="1"/>
        <v>1027</v>
      </c>
      <c r="H4" s="368">
        <f t="shared" ca="1" si="1"/>
        <v>998.4</v>
      </c>
      <c r="I4" s="368">
        <f t="shared" ca="1" si="1"/>
        <v>901.4</v>
      </c>
      <c r="J4" s="368">
        <f t="shared" ca="1" si="1"/>
        <v>849.6</v>
      </c>
      <c r="K4" s="368">
        <f t="shared" ca="1" si="1"/>
        <v>763.5</v>
      </c>
      <c r="L4" s="368">
        <f t="shared" ca="1" si="1"/>
        <v>707.1</v>
      </c>
      <c r="M4" s="368">
        <f t="shared" ca="1" si="1"/>
        <v>655.1</v>
      </c>
      <c r="N4" s="368">
        <f t="shared" ca="1" si="1"/>
        <v>651.70000000000005</v>
      </c>
      <c r="O4" s="368">
        <f t="shared" ca="1" si="1"/>
        <v>624.1</v>
      </c>
      <c r="P4" s="368">
        <f t="shared" ca="1" si="1"/>
        <v>601.29999999999995</v>
      </c>
      <c r="Q4" s="368">
        <f t="shared" ca="1" si="1"/>
        <v>536.20000000000005</v>
      </c>
      <c r="R4" s="368">
        <f t="shared" ca="1" si="1"/>
        <v>415.7</v>
      </c>
      <c r="S4" s="368">
        <f t="shared" ca="1" si="1"/>
        <v>270.2</v>
      </c>
      <c r="T4" s="368">
        <f t="shared" ca="1" si="1"/>
        <v>140.19999999999999</v>
      </c>
      <c r="U4" s="368">
        <f t="shared" ca="1" si="1"/>
        <v>76.900000000000006</v>
      </c>
      <c r="V4" s="368">
        <f t="shared" ca="1" si="1"/>
        <v>54.9</v>
      </c>
      <c r="W4" s="368">
        <f t="shared" ca="1" si="1"/>
        <v>40.200000000000003</v>
      </c>
      <c r="X4" s="368">
        <f ca="1">INDIRECT(ADDRESS($B2+2,COLUMN(X3)))</f>
        <v>0</v>
      </c>
      <c r="Y4" s="369">
        <f t="shared" ca="1" si="1"/>
        <v>0</v>
      </c>
    </row>
    <row r="5" spans="1:26" x14ac:dyDescent="0.25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spans="1:26" x14ac:dyDescent="0.25"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</row>
    <row r="7" spans="1:26" x14ac:dyDescent="0.25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1:26" x14ac:dyDescent="0.25"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</row>
    <row r="9" spans="1:26" x14ac:dyDescent="0.25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</row>
    <row r="10" spans="1:26" x14ac:dyDescent="0.25">
      <c r="B10" s="12"/>
      <c r="C10" s="12"/>
      <c r="D10" s="12"/>
      <c r="E10" s="12"/>
      <c r="F10" s="12"/>
      <c r="G10" s="12"/>
      <c r="H10" s="12"/>
      <c r="I10" s="12"/>
      <c r="J10" s="12"/>
    </row>
    <row r="11" spans="1:26" x14ac:dyDescent="0.25">
      <c r="B11" s="12"/>
      <c r="C11" s="12"/>
      <c r="D11" s="12"/>
      <c r="E11" s="12"/>
      <c r="F11" s="12"/>
      <c r="G11" s="12"/>
      <c r="H11" s="12"/>
      <c r="I11" s="12"/>
      <c r="J11" s="12"/>
    </row>
    <row r="12" spans="1:26" x14ac:dyDescent="0.25">
      <c r="B12" s="12"/>
      <c r="C12" s="12"/>
      <c r="D12" s="12"/>
      <c r="E12" s="12"/>
      <c r="F12" s="12"/>
      <c r="G12" s="12"/>
      <c r="H12" s="12"/>
      <c r="I12" s="12"/>
      <c r="J12" s="12"/>
    </row>
    <row r="13" spans="1:26" x14ac:dyDescent="0.25">
      <c r="B13" s="12"/>
      <c r="C13" s="12"/>
      <c r="D13" s="12"/>
      <c r="E13" s="12"/>
      <c r="F13" s="12"/>
      <c r="G13" s="12"/>
      <c r="H13" s="12"/>
      <c r="I13" s="12"/>
      <c r="J13" s="12"/>
    </row>
    <row r="14" spans="1:26" x14ac:dyDescent="0.25">
      <c r="B14" s="12"/>
      <c r="C14" s="12"/>
      <c r="D14" s="12"/>
      <c r="E14" s="12"/>
      <c r="F14" s="12"/>
      <c r="G14" s="12"/>
      <c r="H14" s="12"/>
      <c r="I14" s="12"/>
      <c r="J14" s="12"/>
    </row>
    <row r="15" spans="1:26" x14ac:dyDescent="0.25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</row>
    <row r="16" spans="1:26" x14ac:dyDescent="0.25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</row>
    <row r="17" spans="1:25" x14ac:dyDescent="0.25"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</row>
    <row r="18" spans="1:25" x14ac:dyDescent="0.25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</row>
    <row r="19" spans="1:25" x14ac:dyDescent="0.25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</row>
    <row r="20" spans="1:25" x14ac:dyDescent="0.25"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</row>
    <row r="21" spans="1:25" x14ac:dyDescent="0.25"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</row>
    <row r="22" spans="1:25" x14ac:dyDescent="0.25"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</row>
    <row r="23" spans="1:25" x14ac:dyDescent="0.25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</row>
    <row r="25" spans="1:25" ht="13.5" thickBot="1" x14ac:dyDescent="0.35">
      <c r="A25" s="6" t="s">
        <v>279</v>
      </c>
    </row>
    <row r="26" spans="1:25" ht="13.5" thickBot="1" x14ac:dyDescent="0.35">
      <c r="A26" s="361" t="s">
        <v>312</v>
      </c>
      <c r="B26" s="359">
        <f>ROW(A26)</f>
        <v>26</v>
      </c>
      <c r="C26" s="363" t="s">
        <v>118</v>
      </c>
      <c r="D26" s="353">
        <f>SUM(B29:Y29)</f>
        <v>9.8449999999999989</v>
      </c>
      <c r="E26" s="363" t="s">
        <v>117</v>
      </c>
      <c r="F26" s="399">
        <f>D26/g/J26</f>
        <v>3.3452259599048584</v>
      </c>
      <c r="G26" s="363" t="s">
        <v>59</v>
      </c>
      <c r="H26" s="64">
        <v>0.3</v>
      </c>
      <c r="I26" s="363" t="s">
        <v>274</v>
      </c>
      <c r="J26" s="355">
        <f>H26-L26</f>
        <v>0.3</v>
      </c>
      <c r="K26" s="363" t="s">
        <v>275</v>
      </c>
      <c r="L26" s="64">
        <v>0</v>
      </c>
      <c r="M26" s="363" t="s">
        <v>60</v>
      </c>
      <c r="N26" s="65">
        <f>0.2*R26</f>
        <v>60</v>
      </c>
      <c r="O26" s="363" t="s">
        <v>62</v>
      </c>
      <c r="P26" s="65">
        <v>150</v>
      </c>
      <c r="Q26" s="363" t="s">
        <v>63</v>
      </c>
      <c r="R26" s="65">
        <v>300</v>
      </c>
      <c r="S26" s="363" t="s">
        <v>64</v>
      </c>
      <c r="T26" s="65">
        <v>90</v>
      </c>
      <c r="U26" s="363" t="s">
        <v>57</v>
      </c>
      <c r="V26" s="66" t="s">
        <v>279</v>
      </c>
      <c r="W26" s="12"/>
      <c r="X26" s="12"/>
      <c r="Y26" s="12"/>
    </row>
    <row r="27" spans="1:25" x14ac:dyDescent="0.25">
      <c r="A27" s="362" t="s">
        <v>33</v>
      </c>
      <c r="B27" s="370">
        <v>0</v>
      </c>
      <c r="C27" s="371">
        <v>1E-3</v>
      </c>
      <c r="D27" s="371">
        <v>0.02</v>
      </c>
      <c r="E27" s="371">
        <v>3.7999999999999999E-2</v>
      </c>
      <c r="F27" s="371">
        <v>0.04</v>
      </c>
      <c r="G27" s="371">
        <v>0.04</v>
      </c>
      <c r="H27" s="371">
        <v>0.04</v>
      </c>
      <c r="I27" s="371">
        <v>0.04</v>
      </c>
      <c r="J27" s="371">
        <v>0.04</v>
      </c>
      <c r="K27" s="371">
        <v>0.04</v>
      </c>
      <c r="L27" s="371">
        <v>0.04</v>
      </c>
      <c r="M27" s="371">
        <v>0.04</v>
      </c>
      <c r="N27" s="371">
        <v>0.04</v>
      </c>
      <c r="O27" s="371">
        <v>0.04</v>
      </c>
      <c r="P27" s="371">
        <v>0.04</v>
      </c>
      <c r="Q27" s="371">
        <v>0.04</v>
      </c>
      <c r="R27" s="371">
        <v>0.04</v>
      </c>
      <c r="S27" s="371">
        <v>0.04</v>
      </c>
      <c r="T27" s="371">
        <v>0.04</v>
      </c>
      <c r="U27" s="371">
        <v>0.04</v>
      </c>
      <c r="V27" s="371">
        <v>0.04</v>
      </c>
      <c r="W27" s="371">
        <v>0.04</v>
      </c>
      <c r="X27" s="371">
        <v>0.04</v>
      </c>
      <c r="Y27" s="381">
        <v>1000</v>
      </c>
    </row>
    <row r="28" spans="1:25" x14ac:dyDescent="0.25">
      <c r="A28" s="378" t="s">
        <v>34</v>
      </c>
      <c r="B28" s="372">
        <v>0</v>
      </c>
      <c r="C28" s="373">
        <v>310</v>
      </c>
      <c r="D28" s="373">
        <v>250</v>
      </c>
      <c r="E28" s="373">
        <v>212</v>
      </c>
      <c r="F28" s="373">
        <v>0</v>
      </c>
      <c r="G28" s="373">
        <v>0</v>
      </c>
      <c r="H28" s="373">
        <v>0</v>
      </c>
      <c r="I28" s="373">
        <v>0</v>
      </c>
      <c r="J28" s="373">
        <v>0</v>
      </c>
      <c r="K28" s="373">
        <v>0</v>
      </c>
      <c r="L28" s="373">
        <v>0</v>
      </c>
      <c r="M28" s="373">
        <v>0</v>
      </c>
      <c r="N28" s="373">
        <v>0</v>
      </c>
      <c r="O28" s="373">
        <v>0</v>
      </c>
      <c r="P28" s="373">
        <v>0</v>
      </c>
      <c r="Q28" s="373">
        <v>0</v>
      </c>
      <c r="R28" s="373">
        <v>0</v>
      </c>
      <c r="S28" s="373">
        <v>0</v>
      </c>
      <c r="T28" s="373">
        <v>0</v>
      </c>
      <c r="U28" s="373">
        <v>0</v>
      </c>
      <c r="V28" s="373">
        <v>0</v>
      </c>
      <c r="W28" s="373">
        <v>0</v>
      </c>
      <c r="X28" s="373">
        <v>0</v>
      </c>
      <c r="Y28" s="382">
        <v>0</v>
      </c>
    </row>
    <row r="29" spans="1:25" ht="13" thickBot="1" x14ac:dyDescent="0.3">
      <c r="A29" s="379" t="s">
        <v>119</v>
      </c>
      <c r="B29" s="374">
        <f t="shared" ref="B29:X29" si="2">(C28+B28)*(C27-B27)/2</f>
        <v>0.155</v>
      </c>
      <c r="C29" s="375">
        <f t="shared" si="2"/>
        <v>5.32</v>
      </c>
      <c r="D29" s="375">
        <f t="shared" si="2"/>
        <v>4.1579999999999995</v>
      </c>
      <c r="E29" s="375">
        <f t="shared" si="2"/>
        <v>0.21200000000000019</v>
      </c>
      <c r="F29" s="375">
        <f t="shared" si="2"/>
        <v>0</v>
      </c>
      <c r="G29" s="375">
        <f t="shared" si="2"/>
        <v>0</v>
      </c>
      <c r="H29" s="375">
        <f t="shared" si="2"/>
        <v>0</v>
      </c>
      <c r="I29" s="375">
        <f t="shared" si="2"/>
        <v>0</v>
      </c>
      <c r="J29" s="375">
        <f t="shared" si="2"/>
        <v>0</v>
      </c>
      <c r="K29" s="375">
        <f t="shared" si="2"/>
        <v>0</v>
      </c>
      <c r="L29" s="375">
        <f t="shared" si="2"/>
        <v>0</v>
      </c>
      <c r="M29" s="375">
        <f t="shared" si="2"/>
        <v>0</v>
      </c>
      <c r="N29" s="375">
        <f t="shared" si="2"/>
        <v>0</v>
      </c>
      <c r="O29" s="375">
        <f t="shared" si="2"/>
        <v>0</v>
      </c>
      <c r="P29" s="375">
        <f t="shared" si="2"/>
        <v>0</v>
      </c>
      <c r="Q29" s="375">
        <f t="shared" si="2"/>
        <v>0</v>
      </c>
      <c r="R29" s="375">
        <f t="shared" si="2"/>
        <v>0</v>
      </c>
      <c r="S29" s="375">
        <f t="shared" si="2"/>
        <v>0</v>
      </c>
      <c r="T29" s="375">
        <f t="shared" si="2"/>
        <v>0</v>
      </c>
      <c r="U29" s="375">
        <f t="shared" si="2"/>
        <v>0</v>
      </c>
      <c r="V29" s="375">
        <f t="shared" si="2"/>
        <v>0</v>
      </c>
      <c r="W29" s="375">
        <f t="shared" si="2"/>
        <v>0</v>
      </c>
      <c r="X29" s="375">
        <f t="shared" si="2"/>
        <v>0</v>
      </c>
      <c r="Y29" s="369"/>
    </row>
    <row r="30" spans="1:25" ht="13" thickBot="1" x14ac:dyDescent="0.3">
      <c r="A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</row>
    <row r="31" spans="1:25" ht="13.5" thickBot="1" x14ac:dyDescent="0.35">
      <c r="A31" s="361" t="s">
        <v>313</v>
      </c>
      <c r="B31" s="359">
        <f>ROW(A31)</f>
        <v>31</v>
      </c>
      <c r="C31" s="363" t="s">
        <v>118</v>
      </c>
      <c r="D31" s="353">
        <f>SUM(B34:Y34)</f>
        <v>13.814500000000002</v>
      </c>
      <c r="E31" s="363" t="s">
        <v>117</v>
      </c>
      <c r="F31" s="399">
        <f>D31/g/J31</f>
        <v>3.1293464718541175</v>
      </c>
      <c r="G31" s="363" t="s">
        <v>59</v>
      </c>
      <c r="H31" s="64">
        <v>0.45</v>
      </c>
      <c r="I31" s="363" t="s">
        <v>274</v>
      </c>
      <c r="J31" s="355">
        <f>H31-L31</f>
        <v>0.45</v>
      </c>
      <c r="K31" s="363" t="s">
        <v>275</v>
      </c>
      <c r="L31" s="64">
        <v>0</v>
      </c>
      <c r="M31" s="363" t="s">
        <v>60</v>
      </c>
      <c r="N31" s="65">
        <f>0.3*R31</f>
        <v>90</v>
      </c>
      <c r="O31" s="363" t="s">
        <v>62</v>
      </c>
      <c r="P31" s="65">
        <v>150</v>
      </c>
      <c r="Q31" s="363" t="s">
        <v>63</v>
      </c>
      <c r="R31" s="65">
        <v>300</v>
      </c>
      <c r="S31" s="363" t="s">
        <v>64</v>
      </c>
      <c r="T31" s="65">
        <v>90</v>
      </c>
      <c r="U31" s="363" t="s">
        <v>57</v>
      </c>
      <c r="V31" s="66" t="s">
        <v>279</v>
      </c>
      <c r="W31" s="12"/>
      <c r="X31" s="12"/>
      <c r="Y31" s="12"/>
    </row>
    <row r="32" spans="1:25" x14ac:dyDescent="0.25">
      <c r="A32" s="362" t="s">
        <v>33</v>
      </c>
      <c r="B32" s="370">
        <v>0</v>
      </c>
      <c r="C32" s="371">
        <v>1E-3</v>
      </c>
      <c r="D32" s="371">
        <v>0.02</v>
      </c>
      <c r="E32" s="371">
        <v>0.04</v>
      </c>
      <c r="F32" s="371">
        <v>6.0999999999999999E-2</v>
      </c>
      <c r="G32" s="371">
        <v>6.2E-2</v>
      </c>
      <c r="H32" s="371">
        <v>6.2E-2</v>
      </c>
      <c r="I32" s="371">
        <v>6.2E-2</v>
      </c>
      <c r="J32" s="371">
        <v>6.2E-2</v>
      </c>
      <c r="K32" s="371">
        <v>6.2E-2</v>
      </c>
      <c r="L32" s="371">
        <v>6.2E-2</v>
      </c>
      <c r="M32" s="371">
        <v>6.2E-2</v>
      </c>
      <c r="N32" s="371">
        <v>6.2E-2</v>
      </c>
      <c r="O32" s="371">
        <v>6.2E-2</v>
      </c>
      <c r="P32" s="371">
        <v>6.2E-2</v>
      </c>
      <c r="Q32" s="371">
        <v>6.2E-2</v>
      </c>
      <c r="R32" s="371">
        <v>6.2E-2</v>
      </c>
      <c r="S32" s="371">
        <v>6.2E-2</v>
      </c>
      <c r="T32" s="371">
        <v>6.2E-2</v>
      </c>
      <c r="U32" s="371">
        <v>6.2E-2</v>
      </c>
      <c r="V32" s="371">
        <v>6.2E-2</v>
      </c>
      <c r="W32" s="371">
        <v>6.2E-2</v>
      </c>
      <c r="X32" s="371">
        <v>6.2E-2</v>
      </c>
      <c r="Y32" s="381">
        <v>1000</v>
      </c>
    </row>
    <row r="33" spans="1:25" x14ac:dyDescent="0.25">
      <c r="A33" s="378" t="s">
        <v>34</v>
      </c>
      <c r="B33" s="372">
        <v>0</v>
      </c>
      <c r="C33" s="373">
        <v>310</v>
      </c>
      <c r="D33" s="373">
        <v>245</v>
      </c>
      <c r="E33" s="373">
        <v>200</v>
      </c>
      <c r="F33" s="373">
        <v>167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  <c r="Y33" s="382">
        <v>0</v>
      </c>
    </row>
    <row r="34" spans="1:25" ht="13" thickBot="1" x14ac:dyDescent="0.3">
      <c r="A34" s="379" t="s">
        <v>119</v>
      </c>
      <c r="B34" s="374">
        <f t="shared" ref="B34:X34" si="3">(C33+B33)*(C32-B32)/2</f>
        <v>0.155</v>
      </c>
      <c r="C34" s="375">
        <f t="shared" si="3"/>
        <v>5.2725</v>
      </c>
      <c r="D34" s="375">
        <f t="shared" si="3"/>
        <v>4.45</v>
      </c>
      <c r="E34" s="375">
        <f t="shared" si="3"/>
        <v>3.8534999999999995</v>
      </c>
      <c r="F34" s="375">
        <f t="shared" si="3"/>
        <v>8.3500000000000074E-2</v>
      </c>
      <c r="G34" s="375">
        <f t="shared" si="3"/>
        <v>0</v>
      </c>
      <c r="H34" s="375">
        <f t="shared" si="3"/>
        <v>0</v>
      </c>
      <c r="I34" s="375">
        <f t="shared" si="3"/>
        <v>0</v>
      </c>
      <c r="J34" s="375">
        <f t="shared" si="3"/>
        <v>0</v>
      </c>
      <c r="K34" s="375">
        <f t="shared" si="3"/>
        <v>0</v>
      </c>
      <c r="L34" s="375">
        <f t="shared" si="3"/>
        <v>0</v>
      </c>
      <c r="M34" s="375">
        <f t="shared" si="3"/>
        <v>0</v>
      </c>
      <c r="N34" s="375">
        <f t="shared" si="3"/>
        <v>0</v>
      </c>
      <c r="O34" s="375">
        <f t="shared" si="3"/>
        <v>0</v>
      </c>
      <c r="P34" s="375">
        <f t="shared" si="3"/>
        <v>0</v>
      </c>
      <c r="Q34" s="375">
        <f t="shared" si="3"/>
        <v>0</v>
      </c>
      <c r="R34" s="375">
        <f t="shared" si="3"/>
        <v>0</v>
      </c>
      <c r="S34" s="375">
        <f t="shared" si="3"/>
        <v>0</v>
      </c>
      <c r="T34" s="375">
        <f t="shared" si="3"/>
        <v>0</v>
      </c>
      <c r="U34" s="375">
        <f t="shared" si="3"/>
        <v>0</v>
      </c>
      <c r="V34" s="375">
        <f t="shared" si="3"/>
        <v>0</v>
      </c>
      <c r="W34" s="375">
        <f t="shared" si="3"/>
        <v>0</v>
      </c>
      <c r="X34" s="375">
        <f t="shared" si="3"/>
        <v>0</v>
      </c>
      <c r="Y34" s="369"/>
    </row>
    <row r="35" spans="1:25" ht="13" thickBot="1" x14ac:dyDescent="0.3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</row>
    <row r="36" spans="1:25" ht="13.5" thickBot="1" x14ac:dyDescent="0.35">
      <c r="A36" s="361" t="s">
        <v>314</v>
      </c>
      <c r="B36" s="359">
        <f>ROW(A36)</f>
        <v>36</v>
      </c>
      <c r="C36" s="363" t="s">
        <v>118</v>
      </c>
      <c r="D36" s="353">
        <f>SUM(B39:Y39)</f>
        <v>17.144499999999997</v>
      </c>
      <c r="E36" s="363" t="s">
        <v>117</v>
      </c>
      <c r="F36" s="399">
        <f>D36/g/J36</f>
        <v>2.9127590893645934</v>
      </c>
      <c r="G36" s="363" t="s">
        <v>59</v>
      </c>
      <c r="H36" s="64">
        <v>0.6</v>
      </c>
      <c r="I36" s="363" t="s">
        <v>274</v>
      </c>
      <c r="J36" s="355">
        <f>H36-L36</f>
        <v>0.6</v>
      </c>
      <c r="K36" s="363" t="s">
        <v>275</v>
      </c>
      <c r="L36" s="64">
        <v>0</v>
      </c>
      <c r="M36" s="363" t="s">
        <v>60</v>
      </c>
      <c r="N36" s="65">
        <f>0.4*R36</f>
        <v>120</v>
      </c>
      <c r="O36" s="363" t="s">
        <v>62</v>
      </c>
      <c r="P36" s="65">
        <v>150</v>
      </c>
      <c r="Q36" s="363" t="s">
        <v>63</v>
      </c>
      <c r="R36" s="65">
        <v>300</v>
      </c>
      <c r="S36" s="363" t="s">
        <v>64</v>
      </c>
      <c r="T36" s="65">
        <v>90</v>
      </c>
      <c r="U36" s="363" t="s">
        <v>57</v>
      </c>
      <c r="V36" s="66" t="s">
        <v>279</v>
      </c>
      <c r="W36" s="12"/>
      <c r="X36" s="12"/>
      <c r="Y36" s="12"/>
    </row>
    <row r="37" spans="1:25" x14ac:dyDescent="0.25">
      <c r="A37" s="362" t="s">
        <v>33</v>
      </c>
      <c r="B37" s="370">
        <v>0</v>
      </c>
      <c r="C37" s="371">
        <v>1E-3</v>
      </c>
      <c r="D37" s="371">
        <v>0.02</v>
      </c>
      <c r="E37" s="371">
        <v>0.04</v>
      </c>
      <c r="F37" s="371">
        <v>0.06</v>
      </c>
      <c r="G37" s="371">
        <v>0.08</v>
      </c>
      <c r="H37" s="371">
        <v>8.7999999999999995E-2</v>
      </c>
      <c r="I37" s="371">
        <v>8.8999999999999996E-2</v>
      </c>
      <c r="J37" s="371">
        <v>8.8999999999999996E-2</v>
      </c>
      <c r="K37" s="371">
        <v>8.8999999999999996E-2</v>
      </c>
      <c r="L37" s="371">
        <v>8.8999999999999996E-2</v>
      </c>
      <c r="M37" s="371">
        <v>8.8999999999999996E-2</v>
      </c>
      <c r="N37" s="371">
        <v>8.8999999999999996E-2</v>
      </c>
      <c r="O37" s="371">
        <v>8.8999999999999996E-2</v>
      </c>
      <c r="P37" s="371">
        <v>8.8999999999999996E-2</v>
      </c>
      <c r="Q37" s="371">
        <v>8.8999999999999996E-2</v>
      </c>
      <c r="R37" s="371">
        <v>8.8999999999999996E-2</v>
      </c>
      <c r="S37" s="371">
        <v>8.8999999999999996E-2</v>
      </c>
      <c r="T37" s="371">
        <v>8.8999999999999996E-2</v>
      </c>
      <c r="U37" s="371">
        <v>8.8999999999999996E-2</v>
      </c>
      <c r="V37" s="371">
        <v>8.8999999999999996E-2</v>
      </c>
      <c r="W37" s="371">
        <v>8.8999999999999996E-2</v>
      </c>
      <c r="X37" s="371">
        <v>8.8999999999999996E-2</v>
      </c>
      <c r="Y37" s="381">
        <v>1000</v>
      </c>
    </row>
    <row r="38" spans="1:25" x14ac:dyDescent="0.25">
      <c r="A38" s="378" t="s">
        <v>34</v>
      </c>
      <c r="B38" s="372">
        <v>0</v>
      </c>
      <c r="C38" s="373">
        <v>310</v>
      </c>
      <c r="D38" s="373">
        <v>240</v>
      </c>
      <c r="E38" s="373">
        <v>190</v>
      </c>
      <c r="F38" s="373">
        <v>157</v>
      </c>
      <c r="G38" s="373">
        <v>133</v>
      </c>
      <c r="H38" s="373">
        <v>125</v>
      </c>
      <c r="I38" s="373">
        <v>0</v>
      </c>
      <c r="J38" s="373">
        <v>0</v>
      </c>
      <c r="K38" s="373">
        <v>0</v>
      </c>
      <c r="L38" s="373">
        <v>0</v>
      </c>
      <c r="M38" s="373">
        <v>0</v>
      </c>
      <c r="N38" s="373">
        <v>0</v>
      </c>
      <c r="O38" s="373">
        <v>0</v>
      </c>
      <c r="P38" s="373">
        <v>0</v>
      </c>
      <c r="Q38" s="373">
        <v>0</v>
      </c>
      <c r="R38" s="373">
        <v>0</v>
      </c>
      <c r="S38" s="373">
        <v>0</v>
      </c>
      <c r="T38" s="373">
        <v>0</v>
      </c>
      <c r="U38" s="373">
        <v>0</v>
      </c>
      <c r="V38" s="373">
        <v>0</v>
      </c>
      <c r="W38" s="373">
        <v>0</v>
      </c>
      <c r="X38" s="373">
        <v>0</v>
      </c>
      <c r="Y38" s="382">
        <v>0</v>
      </c>
    </row>
    <row r="39" spans="1:25" ht="13" thickBot="1" x14ac:dyDescent="0.3">
      <c r="A39" s="379" t="s">
        <v>119</v>
      </c>
      <c r="B39" s="374">
        <f t="shared" ref="B39:X39" si="4">(C38+B38)*(C37-B37)/2</f>
        <v>0.155</v>
      </c>
      <c r="C39" s="375">
        <f t="shared" si="4"/>
        <v>5.2249999999999996</v>
      </c>
      <c r="D39" s="375">
        <f t="shared" si="4"/>
        <v>4.3</v>
      </c>
      <c r="E39" s="375">
        <f t="shared" si="4"/>
        <v>3.4699999999999993</v>
      </c>
      <c r="F39" s="375">
        <f t="shared" si="4"/>
        <v>2.9000000000000004</v>
      </c>
      <c r="G39" s="375">
        <f t="shared" si="4"/>
        <v>1.0319999999999991</v>
      </c>
      <c r="H39" s="375">
        <f t="shared" si="4"/>
        <v>6.2500000000000056E-2</v>
      </c>
      <c r="I39" s="375">
        <f t="shared" si="4"/>
        <v>0</v>
      </c>
      <c r="J39" s="375">
        <f t="shared" si="4"/>
        <v>0</v>
      </c>
      <c r="K39" s="375">
        <f t="shared" si="4"/>
        <v>0</v>
      </c>
      <c r="L39" s="375">
        <f t="shared" si="4"/>
        <v>0</v>
      </c>
      <c r="M39" s="375">
        <f t="shared" si="4"/>
        <v>0</v>
      </c>
      <c r="N39" s="375">
        <f t="shared" si="4"/>
        <v>0</v>
      </c>
      <c r="O39" s="375">
        <f t="shared" si="4"/>
        <v>0</v>
      </c>
      <c r="P39" s="375">
        <f t="shared" si="4"/>
        <v>0</v>
      </c>
      <c r="Q39" s="375">
        <f t="shared" si="4"/>
        <v>0</v>
      </c>
      <c r="R39" s="375">
        <f t="shared" si="4"/>
        <v>0</v>
      </c>
      <c r="S39" s="375">
        <f t="shared" si="4"/>
        <v>0</v>
      </c>
      <c r="T39" s="375">
        <f t="shared" si="4"/>
        <v>0</v>
      </c>
      <c r="U39" s="375">
        <f t="shared" si="4"/>
        <v>0</v>
      </c>
      <c r="V39" s="375">
        <f t="shared" si="4"/>
        <v>0</v>
      </c>
      <c r="W39" s="375">
        <f t="shared" si="4"/>
        <v>0</v>
      </c>
      <c r="X39" s="375">
        <f t="shared" si="4"/>
        <v>0</v>
      </c>
      <c r="Y39" s="369"/>
    </row>
    <row r="40" spans="1:25" ht="13" thickBot="1" x14ac:dyDescent="0.3">
      <c r="A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</row>
    <row r="41" spans="1:25" ht="13.5" thickBot="1" x14ac:dyDescent="0.35">
      <c r="A41" s="361" t="s">
        <v>315</v>
      </c>
      <c r="B41" s="359">
        <f>ROW(A41)</f>
        <v>41</v>
      </c>
      <c r="C41" s="363" t="s">
        <v>118</v>
      </c>
      <c r="D41" s="353">
        <f>SUM(B44:Y44)</f>
        <v>19.415000000000003</v>
      </c>
      <c r="E41" s="363" t="s">
        <v>117</v>
      </c>
      <c r="F41" s="399">
        <f>D41/g/J41</f>
        <v>2.6388039415562354</v>
      </c>
      <c r="G41" s="363" t="s">
        <v>59</v>
      </c>
      <c r="H41" s="64">
        <v>0.75</v>
      </c>
      <c r="I41" s="363" t="s">
        <v>274</v>
      </c>
      <c r="J41" s="355">
        <f>H41-L41</f>
        <v>0.75</v>
      </c>
      <c r="K41" s="363" t="s">
        <v>275</v>
      </c>
      <c r="L41" s="64">
        <v>0</v>
      </c>
      <c r="M41" s="363" t="s">
        <v>60</v>
      </c>
      <c r="N41" s="65">
        <f>0.5*R41</f>
        <v>150</v>
      </c>
      <c r="O41" s="363" t="s">
        <v>62</v>
      </c>
      <c r="P41" s="65">
        <v>150</v>
      </c>
      <c r="Q41" s="363" t="s">
        <v>63</v>
      </c>
      <c r="R41" s="65">
        <v>300</v>
      </c>
      <c r="S41" s="363" t="s">
        <v>64</v>
      </c>
      <c r="T41" s="65">
        <v>90</v>
      </c>
      <c r="U41" s="363" t="s">
        <v>57</v>
      </c>
      <c r="V41" s="66" t="s">
        <v>279</v>
      </c>
      <c r="W41" s="12"/>
      <c r="X41" s="12"/>
      <c r="Y41" s="12"/>
    </row>
    <row r="42" spans="1:25" x14ac:dyDescent="0.25">
      <c r="A42" s="362" t="s">
        <v>33</v>
      </c>
      <c r="B42" s="370">
        <v>0</v>
      </c>
      <c r="C42" s="371">
        <v>1E-3</v>
      </c>
      <c r="D42" s="371">
        <v>0.02</v>
      </c>
      <c r="E42" s="371">
        <v>0.04</v>
      </c>
      <c r="F42" s="371">
        <v>0.06</v>
      </c>
      <c r="G42" s="371">
        <v>0.08</v>
      </c>
      <c r="H42" s="371">
        <v>0.1</v>
      </c>
      <c r="I42" s="371">
        <v>0.123</v>
      </c>
      <c r="J42" s="371">
        <v>0.124</v>
      </c>
      <c r="K42" s="371">
        <v>0.124</v>
      </c>
      <c r="L42" s="371">
        <v>0.124</v>
      </c>
      <c r="M42" s="371">
        <v>0.124</v>
      </c>
      <c r="N42" s="371">
        <v>0.124</v>
      </c>
      <c r="O42" s="371">
        <v>0.124</v>
      </c>
      <c r="P42" s="371">
        <v>0.124</v>
      </c>
      <c r="Q42" s="371">
        <v>0.124</v>
      </c>
      <c r="R42" s="371">
        <v>0.124</v>
      </c>
      <c r="S42" s="371">
        <v>0.124</v>
      </c>
      <c r="T42" s="371">
        <v>0.124</v>
      </c>
      <c r="U42" s="371">
        <v>0.124</v>
      </c>
      <c r="V42" s="371">
        <v>0.124</v>
      </c>
      <c r="W42" s="371">
        <v>0.124</v>
      </c>
      <c r="X42" s="371">
        <v>0.124</v>
      </c>
      <c r="Y42" s="381">
        <v>1000</v>
      </c>
    </row>
    <row r="43" spans="1:25" x14ac:dyDescent="0.25">
      <c r="A43" s="378" t="s">
        <v>34</v>
      </c>
      <c r="B43" s="372">
        <v>0</v>
      </c>
      <c r="C43" s="373">
        <v>310</v>
      </c>
      <c r="D43" s="373">
        <v>230</v>
      </c>
      <c r="E43" s="373">
        <v>175</v>
      </c>
      <c r="F43" s="373">
        <v>140</v>
      </c>
      <c r="G43" s="373">
        <v>118</v>
      </c>
      <c r="H43" s="373">
        <v>100</v>
      </c>
      <c r="I43" s="373">
        <v>85</v>
      </c>
      <c r="J43" s="373">
        <v>0</v>
      </c>
      <c r="K43" s="373">
        <v>0</v>
      </c>
      <c r="L43" s="373">
        <v>0</v>
      </c>
      <c r="M43" s="373">
        <v>0</v>
      </c>
      <c r="N43" s="373">
        <v>0</v>
      </c>
      <c r="O43" s="373">
        <v>0</v>
      </c>
      <c r="P43" s="373">
        <v>0</v>
      </c>
      <c r="Q43" s="373">
        <v>0</v>
      </c>
      <c r="R43" s="373">
        <v>0</v>
      </c>
      <c r="S43" s="373">
        <v>0</v>
      </c>
      <c r="T43" s="373">
        <v>0</v>
      </c>
      <c r="U43" s="373">
        <v>0</v>
      </c>
      <c r="V43" s="373">
        <v>0</v>
      </c>
      <c r="W43" s="373">
        <v>0</v>
      </c>
      <c r="X43" s="373">
        <v>0</v>
      </c>
      <c r="Y43" s="382">
        <v>0</v>
      </c>
    </row>
    <row r="44" spans="1:25" ht="13" thickBot="1" x14ac:dyDescent="0.3">
      <c r="A44" s="379" t="s">
        <v>119</v>
      </c>
      <c r="B44" s="374">
        <f t="shared" ref="B44:X44" si="5">(C43+B43)*(C42-B42)/2</f>
        <v>0.155</v>
      </c>
      <c r="C44" s="375">
        <f t="shared" si="5"/>
        <v>5.13</v>
      </c>
      <c r="D44" s="375">
        <f t="shared" si="5"/>
        <v>4.05</v>
      </c>
      <c r="E44" s="375">
        <f t="shared" si="5"/>
        <v>3.1499999999999995</v>
      </c>
      <c r="F44" s="375">
        <f t="shared" si="5"/>
        <v>2.5800000000000005</v>
      </c>
      <c r="G44" s="375">
        <f t="shared" si="5"/>
        <v>2.1800000000000006</v>
      </c>
      <c r="H44" s="375">
        <f t="shared" si="5"/>
        <v>2.1274999999999995</v>
      </c>
      <c r="I44" s="375">
        <f t="shared" si="5"/>
        <v>4.2500000000000038E-2</v>
      </c>
      <c r="J44" s="375">
        <f t="shared" si="5"/>
        <v>0</v>
      </c>
      <c r="K44" s="375">
        <f t="shared" si="5"/>
        <v>0</v>
      </c>
      <c r="L44" s="375">
        <f t="shared" si="5"/>
        <v>0</v>
      </c>
      <c r="M44" s="375">
        <f t="shared" si="5"/>
        <v>0</v>
      </c>
      <c r="N44" s="375">
        <f t="shared" si="5"/>
        <v>0</v>
      </c>
      <c r="O44" s="375">
        <f t="shared" si="5"/>
        <v>0</v>
      </c>
      <c r="P44" s="375">
        <f t="shared" si="5"/>
        <v>0</v>
      </c>
      <c r="Q44" s="375">
        <f t="shared" si="5"/>
        <v>0</v>
      </c>
      <c r="R44" s="375">
        <f t="shared" si="5"/>
        <v>0</v>
      </c>
      <c r="S44" s="375">
        <f t="shared" si="5"/>
        <v>0</v>
      </c>
      <c r="T44" s="375">
        <f t="shared" si="5"/>
        <v>0</v>
      </c>
      <c r="U44" s="375">
        <f t="shared" si="5"/>
        <v>0</v>
      </c>
      <c r="V44" s="375">
        <f t="shared" si="5"/>
        <v>0</v>
      </c>
      <c r="W44" s="375">
        <f t="shared" si="5"/>
        <v>0</v>
      </c>
      <c r="X44" s="375">
        <f t="shared" si="5"/>
        <v>0</v>
      </c>
      <c r="Y44" s="369"/>
    </row>
    <row r="45" spans="1:25" ht="13" thickBot="1" x14ac:dyDescent="0.3"/>
    <row r="46" spans="1:25" ht="13.5" thickBot="1" x14ac:dyDescent="0.35">
      <c r="A46" s="361" t="s">
        <v>280</v>
      </c>
      <c r="B46" s="359">
        <f>ROW(A46)</f>
        <v>46</v>
      </c>
      <c r="C46" s="363" t="s">
        <v>118</v>
      </c>
      <c r="D46" s="353">
        <f>SUM(B49:Y49)</f>
        <v>12.8695</v>
      </c>
      <c r="E46" s="363" t="s">
        <v>117</v>
      </c>
      <c r="F46" s="399">
        <f>D46/g/J46</f>
        <v>3.2796890927624869</v>
      </c>
      <c r="G46" s="363" t="s">
        <v>59</v>
      </c>
      <c r="H46" s="64">
        <v>0.5</v>
      </c>
      <c r="I46" s="363" t="s">
        <v>274</v>
      </c>
      <c r="J46" s="355">
        <f>H46-L46</f>
        <v>0.4</v>
      </c>
      <c r="K46" s="363" t="s">
        <v>275</v>
      </c>
      <c r="L46" s="64">
        <v>0.1</v>
      </c>
      <c r="M46" s="363" t="s">
        <v>60</v>
      </c>
      <c r="N46" s="65">
        <f>0.2*R46</f>
        <v>60</v>
      </c>
      <c r="O46" s="363" t="s">
        <v>62</v>
      </c>
      <c r="P46" s="65">
        <v>150</v>
      </c>
      <c r="Q46" s="363" t="s">
        <v>63</v>
      </c>
      <c r="R46" s="65">
        <v>300</v>
      </c>
      <c r="S46" s="363" t="s">
        <v>64</v>
      </c>
      <c r="T46" s="65">
        <v>98</v>
      </c>
      <c r="U46" s="363" t="s">
        <v>57</v>
      </c>
      <c r="V46" s="66" t="s">
        <v>279</v>
      </c>
      <c r="W46" s="12"/>
      <c r="X46" s="12"/>
      <c r="Y46" s="12"/>
    </row>
    <row r="47" spans="1:25" x14ac:dyDescent="0.25">
      <c r="A47" s="362" t="s">
        <v>33</v>
      </c>
      <c r="B47" s="370">
        <v>0</v>
      </c>
      <c r="C47" s="371">
        <v>1E-3</v>
      </c>
      <c r="D47" s="371">
        <v>0.02</v>
      </c>
      <c r="E47" s="371">
        <v>0.04</v>
      </c>
      <c r="F47" s="371">
        <v>0.05</v>
      </c>
      <c r="G47" s="371">
        <v>5.0999999999999997E-2</v>
      </c>
      <c r="H47" s="371">
        <v>5.0999999999999997E-2</v>
      </c>
      <c r="I47" s="371">
        <v>5.0999999999999997E-2</v>
      </c>
      <c r="J47" s="371">
        <v>5.0999999999999997E-2</v>
      </c>
      <c r="K47" s="371">
        <v>5.0999999999999997E-2</v>
      </c>
      <c r="L47" s="371">
        <v>5.0999999999999997E-2</v>
      </c>
      <c r="M47" s="371">
        <v>5.0999999999999997E-2</v>
      </c>
      <c r="N47" s="371">
        <v>5.0999999999999997E-2</v>
      </c>
      <c r="O47" s="371">
        <v>5.0999999999999997E-2</v>
      </c>
      <c r="P47" s="371">
        <v>5.0999999999999997E-2</v>
      </c>
      <c r="Q47" s="371">
        <v>5.0999999999999997E-2</v>
      </c>
      <c r="R47" s="371">
        <v>5.0999999999999997E-2</v>
      </c>
      <c r="S47" s="371">
        <v>5.0999999999999997E-2</v>
      </c>
      <c r="T47" s="371">
        <v>5.0999999999999997E-2</v>
      </c>
      <c r="U47" s="371">
        <v>5.0999999999999997E-2</v>
      </c>
      <c r="V47" s="371">
        <v>5.0999999999999997E-2</v>
      </c>
      <c r="W47" s="371">
        <v>5.0999999999999997E-2</v>
      </c>
      <c r="X47" s="371">
        <v>5.0999999999999997E-2</v>
      </c>
      <c r="Y47" s="381">
        <v>1000</v>
      </c>
    </row>
    <row r="48" spans="1:25" x14ac:dyDescent="0.25">
      <c r="A48" s="378" t="s">
        <v>34</v>
      </c>
      <c r="B48" s="372">
        <v>0</v>
      </c>
      <c r="C48" s="373">
        <v>310</v>
      </c>
      <c r="D48" s="373">
        <v>264</v>
      </c>
      <c r="E48" s="373">
        <v>230</v>
      </c>
      <c r="F48" s="373">
        <v>213</v>
      </c>
      <c r="G48" s="373">
        <v>0</v>
      </c>
      <c r="H48" s="373">
        <v>0</v>
      </c>
      <c r="I48" s="373">
        <v>0</v>
      </c>
      <c r="J48" s="373">
        <v>0</v>
      </c>
      <c r="K48" s="373">
        <v>0</v>
      </c>
      <c r="L48" s="373">
        <v>0</v>
      </c>
      <c r="M48" s="373">
        <v>0</v>
      </c>
      <c r="N48" s="373">
        <v>0</v>
      </c>
      <c r="O48" s="373">
        <v>0</v>
      </c>
      <c r="P48" s="373">
        <v>0</v>
      </c>
      <c r="Q48" s="373">
        <v>0</v>
      </c>
      <c r="R48" s="373">
        <v>0</v>
      </c>
      <c r="S48" s="373">
        <v>0</v>
      </c>
      <c r="T48" s="373">
        <v>0</v>
      </c>
      <c r="U48" s="373">
        <v>0</v>
      </c>
      <c r="V48" s="373">
        <v>0</v>
      </c>
      <c r="W48" s="373">
        <v>0</v>
      </c>
      <c r="X48" s="373">
        <v>0</v>
      </c>
      <c r="Y48" s="382">
        <v>0</v>
      </c>
    </row>
    <row r="49" spans="1:25" ht="13" thickBot="1" x14ac:dyDescent="0.3">
      <c r="A49" s="379" t="s">
        <v>119</v>
      </c>
      <c r="B49" s="374">
        <f t="shared" ref="B49:X49" si="6">(C48+B48)*(C47-B47)/2</f>
        <v>0.155</v>
      </c>
      <c r="C49" s="375">
        <f t="shared" si="6"/>
        <v>5.4530000000000003</v>
      </c>
      <c r="D49" s="375">
        <f t="shared" si="6"/>
        <v>4.9400000000000004</v>
      </c>
      <c r="E49" s="375">
        <f t="shared" si="6"/>
        <v>2.2150000000000003</v>
      </c>
      <c r="F49" s="375">
        <f t="shared" si="6"/>
        <v>0.10649999999999936</v>
      </c>
      <c r="G49" s="375">
        <f t="shared" si="6"/>
        <v>0</v>
      </c>
      <c r="H49" s="375">
        <f t="shared" si="6"/>
        <v>0</v>
      </c>
      <c r="I49" s="375">
        <f t="shared" si="6"/>
        <v>0</v>
      </c>
      <c r="J49" s="375">
        <f t="shared" si="6"/>
        <v>0</v>
      </c>
      <c r="K49" s="375">
        <f t="shared" si="6"/>
        <v>0</v>
      </c>
      <c r="L49" s="375">
        <f t="shared" si="6"/>
        <v>0</v>
      </c>
      <c r="M49" s="375">
        <f t="shared" si="6"/>
        <v>0</v>
      </c>
      <c r="N49" s="375">
        <f t="shared" si="6"/>
        <v>0</v>
      </c>
      <c r="O49" s="375">
        <f t="shared" si="6"/>
        <v>0</v>
      </c>
      <c r="P49" s="375">
        <f t="shared" si="6"/>
        <v>0</v>
      </c>
      <c r="Q49" s="375">
        <f t="shared" si="6"/>
        <v>0</v>
      </c>
      <c r="R49" s="375">
        <f t="shared" si="6"/>
        <v>0</v>
      </c>
      <c r="S49" s="375">
        <f t="shared" si="6"/>
        <v>0</v>
      </c>
      <c r="T49" s="375">
        <f t="shared" si="6"/>
        <v>0</v>
      </c>
      <c r="U49" s="375">
        <f t="shared" si="6"/>
        <v>0</v>
      </c>
      <c r="V49" s="375">
        <f t="shared" si="6"/>
        <v>0</v>
      </c>
      <c r="W49" s="375">
        <f t="shared" si="6"/>
        <v>0</v>
      </c>
      <c r="X49" s="375">
        <f t="shared" si="6"/>
        <v>0</v>
      </c>
      <c r="Y49" s="369"/>
    </row>
    <row r="50" spans="1:25" ht="13" thickBot="1" x14ac:dyDescent="0.3">
      <c r="A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</row>
    <row r="51" spans="1:25" ht="13.5" thickBot="1" x14ac:dyDescent="0.35">
      <c r="A51" s="361" t="s">
        <v>281</v>
      </c>
      <c r="B51" s="359">
        <f>ROW(A51)</f>
        <v>51</v>
      </c>
      <c r="C51" s="363" t="s">
        <v>118</v>
      </c>
      <c r="D51" s="353">
        <f>SUM(B54:Y54)</f>
        <v>18.123500000000003</v>
      </c>
      <c r="E51" s="363" t="s">
        <v>117</v>
      </c>
      <c r="F51" s="399">
        <f>D51/g/J51</f>
        <v>3.0790859667006463</v>
      </c>
      <c r="G51" s="363" t="s">
        <v>59</v>
      </c>
      <c r="H51" s="64">
        <v>0.7</v>
      </c>
      <c r="I51" s="363" t="s">
        <v>274</v>
      </c>
      <c r="J51" s="355">
        <f>H51-L51</f>
        <v>0.6</v>
      </c>
      <c r="K51" s="363" t="s">
        <v>275</v>
      </c>
      <c r="L51" s="64">
        <v>0.1</v>
      </c>
      <c r="M51" s="363" t="s">
        <v>60</v>
      </c>
      <c r="N51" s="65">
        <f>0.3*R51</f>
        <v>90</v>
      </c>
      <c r="O51" s="363" t="s">
        <v>62</v>
      </c>
      <c r="P51" s="65">
        <v>150</v>
      </c>
      <c r="Q51" s="363" t="s">
        <v>63</v>
      </c>
      <c r="R51" s="65">
        <v>300</v>
      </c>
      <c r="S51" s="363" t="s">
        <v>64</v>
      </c>
      <c r="T51" s="65">
        <v>98</v>
      </c>
      <c r="U51" s="363" t="s">
        <v>57</v>
      </c>
      <c r="V51" s="66" t="s">
        <v>279</v>
      </c>
      <c r="W51" s="12"/>
      <c r="X51" s="12"/>
      <c r="Y51" s="12"/>
    </row>
    <row r="52" spans="1:25" x14ac:dyDescent="0.25">
      <c r="A52" s="362" t="s">
        <v>33</v>
      </c>
      <c r="B52" s="370">
        <v>0</v>
      </c>
      <c r="C52" s="371">
        <v>1E-3</v>
      </c>
      <c r="D52" s="371">
        <v>0.02</v>
      </c>
      <c r="E52" s="371">
        <v>0.04</v>
      </c>
      <c r="F52" s="371">
        <v>0.06</v>
      </c>
      <c r="G52" s="371">
        <v>0.08</v>
      </c>
      <c r="H52" s="371">
        <v>8.1000000000000003E-2</v>
      </c>
      <c r="I52" s="371">
        <v>8.1000000000000003E-2</v>
      </c>
      <c r="J52" s="371">
        <v>8.1000000000000003E-2</v>
      </c>
      <c r="K52" s="371">
        <v>8.1000000000000003E-2</v>
      </c>
      <c r="L52" s="371">
        <v>8.1000000000000003E-2</v>
      </c>
      <c r="M52" s="371">
        <v>8.1000000000000003E-2</v>
      </c>
      <c r="N52" s="371">
        <v>8.1000000000000003E-2</v>
      </c>
      <c r="O52" s="371">
        <v>8.1000000000000003E-2</v>
      </c>
      <c r="P52" s="371">
        <v>8.1000000000000003E-2</v>
      </c>
      <c r="Q52" s="371">
        <v>8.1000000000000003E-2</v>
      </c>
      <c r="R52" s="371">
        <v>8.1000000000000003E-2</v>
      </c>
      <c r="S52" s="371">
        <v>8.1000000000000003E-2</v>
      </c>
      <c r="T52" s="371">
        <v>8.1000000000000003E-2</v>
      </c>
      <c r="U52" s="371">
        <v>8.1000000000000003E-2</v>
      </c>
      <c r="V52" s="371">
        <v>8.1000000000000003E-2</v>
      </c>
      <c r="W52" s="371">
        <v>8.1000000000000003E-2</v>
      </c>
      <c r="X52" s="371">
        <v>8.1000000000000003E-2</v>
      </c>
      <c r="Y52" s="381">
        <v>1000</v>
      </c>
    </row>
    <row r="53" spans="1:25" x14ac:dyDescent="0.25">
      <c r="A53" s="378" t="s">
        <v>34</v>
      </c>
      <c r="B53" s="372">
        <v>0</v>
      </c>
      <c r="C53" s="373">
        <v>310</v>
      </c>
      <c r="D53" s="373">
        <v>260</v>
      </c>
      <c r="E53" s="373">
        <v>220</v>
      </c>
      <c r="F53" s="373">
        <v>190</v>
      </c>
      <c r="G53" s="373">
        <v>167</v>
      </c>
      <c r="H53" s="373">
        <v>0</v>
      </c>
      <c r="I53" s="373">
        <v>0</v>
      </c>
      <c r="J53" s="373">
        <v>0</v>
      </c>
      <c r="K53" s="373">
        <v>0</v>
      </c>
      <c r="L53" s="373">
        <v>0</v>
      </c>
      <c r="M53" s="373">
        <v>0</v>
      </c>
      <c r="N53" s="373">
        <v>0</v>
      </c>
      <c r="O53" s="373">
        <v>0</v>
      </c>
      <c r="P53" s="373">
        <v>0</v>
      </c>
      <c r="Q53" s="373">
        <v>0</v>
      </c>
      <c r="R53" s="373">
        <v>0</v>
      </c>
      <c r="S53" s="373">
        <v>0</v>
      </c>
      <c r="T53" s="373">
        <v>0</v>
      </c>
      <c r="U53" s="373">
        <v>0</v>
      </c>
      <c r="V53" s="373">
        <v>0</v>
      </c>
      <c r="W53" s="373">
        <v>0</v>
      </c>
      <c r="X53" s="373">
        <v>0</v>
      </c>
      <c r="Y53" s="382">
        <v>0</v>
      </c>
    </row>
    <row r="54" spans="1:25" ht="13" thickBot="1" x14ac:dyDescent="0.3">
      <c r="A54" s="379" t="s">
        <v>119</v>
      </c>
      <c r="B54" s="374">
        <f t="shared" ref="B54:X54" si="7">(C53+B53)*(C52-B52)/2</f>
        <v>0.155</v>
      </c>
      <c r="C54" s="375">
        <f t="shared" si="7"/>
        <v>5.415</v>
      </c>
      <c r="D54" s="375">
        <f t="shared" si="7"/>
        <v>4.8</v>
      </c>
      <c r="E54" s="375">
        <f t="shared" si="7"/>
        <v>4.0999999999999996</v>
      </c>
      <c r="F54" s="375">
        <f t="shared" si="7"/>
        <v>3.5700000000000007</v>
      </c>
      <c r="G54" s="375">
        <f t="shared" si="7"/>
        <v>8.3500000000000074E-2</v>
      </c>
      <c r="H54" s="375">
        <f t="shared" si="7"/>
        <v>0</v>
      </c>
      <c r="I54" s="375">
        <f t="shared" si="7"/>
        <v>0</v>
      </c>
      <c r="J54" s="375">
        <f t="shared" si="7"/>
        <v>0</v>
      </c>
      <c r="K54" s="375">
        <f t="shared" si="7"/>
        <v>0</v>
      </c>
      <c r="L54" s="375">
        <f t="shared" si="7"/>
        <v>0</v>
      </c>
      <c r="M54" s="375">
        <f t="shared" si="7"/>
        <v>0</v>
      </c>
      <c r="N54" s="375">
        <f t="shared" si="7"/>
        <v>0</v>
      </c>
      <c r="O54" s="375">
        <f t="shared" si="7"/>
        <v>0</v>
      </c>
      <c r="P54" s="375">
        <f t="shared" si="7"/>
        <v>0</v>
      </c>
      <c r="Q54" s="375">
        <f t="shared" si="7"/>
        <v>0</v>
      </c>
      <c r="R54" s="375">
        <f t="shared" si="7"/>
        <v>0</v>
      </c>
      <c r="S54" s="375">
        <f t="shared" si="7"/>
        <v>0</v>
      </c>
      <c r="T54" s="375">
        <f t="shared" si="7"/>
        <v>0</v>
      </c>
      <c r="U54" s="375">
        <f t="shared" si="7"/>
        <v>0</v>
      </c>
      <c r="V54" s="375">
        <f t="shared" si="7"/>
        <v>0</v>
      </c>
      <c r="W54" s="375">
        <f t="shared" si="7"/>
        <v>0</v>
      </c>
      <c r="X54" s="375">
        <f t="shared" si="7"/>
        <v>0</v>
      </c>
      <c r="Y54" s="369"/>
    </row>
    <row r="55" spans="1:25" ht="13" thickBot="1" x14ac:dyDescent="0.3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</row>
    <row r="56" spans="1:25" ht="13.5" thickBot="1" x14ac:dyDescent="0.35">
      <c r="A56" s="361" t="s">
        <v>282</v>
      </c>
      <c r="B56" s="359">
        <f>ROW(A56)</f>
        <v>56</v>
      </c>
      <c r="C56" s="363" t="s">
        <v>118</v>
      </c>
      <c r="D56" s="353">
        <f>SUM(B59:Y59)</f>
        <v>22.610000000000003</v>
      </c>
      <c r="E56" s="363" t="s">
        <v>117</v>
      </c>
      <c r="F56" s="399">
        <f>D56/g/J56</f>
        <v>2.88098878695209</v>
      </c>
      <c r="G56" s="363" t="s">
        <v>59</v>
      </c>
      <c r="H56" s="64">
        <v>0.9</v>
      </c>
      <c r="I56" s="363" t="s">
        <v>274</v>
      </c>
      <c r="J56" s="355">
        <f>H56-L56</f>
        <v>0.8</v>
      </c>
      <c r="K56" s="363" t="s">
        <v>275</v>
      </c>
      <c r="L56" s="64">
        <v>0.1</v>
      </c>
      <c r="M56" s="363" t="s">
        <v>60</v>
      </c>
      <c r="N56" s="65">
        <f>0.4*R56</f>
        <v>120</v>
      </c>
      <c r="O56" s="363" t="s">
        <v>62</v>
      </c>
      <c r="P56" s="65">
        <v>150</v>
      </c>
      <c r="Q56" s="363" t="s">
        <v>63</v>
      </c>
      <c r="R56" s="65">
        <v>300</v>
      </c>
      <c r="S56" s="363" t="s">
        <v>64</v>
      </c>
      <c r="T56" s="65">
        <v>98</v>
      </c>
      <c r="U56" s="363" t="s">
        <v>57</v>
      </c>
      <c r="V56" s="66" t="s">
        <v>279</v>
      </c>
      <c r="W56" s="12"/>
      <c r="X56" s="12"/>
      <c r="Y56" s="12"/>
    </row>
    <row r="57" spans="1:25" x14ac:dyDescent="0.25">
      <c r="A57" s="362" t="s">
        <v>33</v>
      </c>
      <c r="B57" s="370">
        <v>0</v>
      </c>
      <c r="C57" s="371">
        <v>1E-3</v>
      </c>
      <c r="D57" s="371">
        <v>0.02</v>
      </c>
      <c r="E57" s="371">
        <v>0.04</v>
      </c>
      <c r="F57" s="371">
        <v>0.06</v>
      </c>
      <c r="G57" s="371">
        <v>0.08</v>
      </c>
      <c r="H57" s="371">
        <v>0.1</v>
      </c>
      <c r="I57" s="371">
        <v>0.11700000000000001</v>
      </c>
      <c r="J57" s="371">
        <v>0.11799999999999999</v>
      </c>
      <c r="K57" s="371">
        <v>0.11799999999999999</v>
      </c>
      <c r="L57" s="371">
        <v>0.11799999999999999</v>
      </c>
      <c r="M57" s="371">
        <v>0.11799999999999999</v>
      </c>
      <c r="N57" s="371">
        <v>0.11799999999999999</v>
      </c>
      <c r="O57" s="371">
        <v>0.11799999999999999</v>
      </c>
      <c r="P57" s="371">
        <v>0.11799999999999999</v>
      </c>
      <c r="Q57" s="371">
        <v>0.11799999999999999</v>
      </c>
      <c r="R57" s="371">
        <v>0.11799999999999999</v>
      </c>
      <c r="S57" s="371">
        <v>0.11799999999999999</v>
      </c>
      <c r="T57" s="371">
        <v>0.11799999999999999</v>
      </c>
      <c r="U57" s="371">
        <v>0.11799999999999999</v>
      </c>
      <c r="V57" s="371">
        <v>0.11799999999999999</v>
      </c>
      <c r="W57" s="371">
        <v>0.11799999999999999</v>
      </c>
      <c r="X57" s="371">
        <v>0.11799999999999999</v>
      </c>
      <c r="Y57" s="381">
        <v>1000</v>
      </c>
    </row>
    <row r="58" spans="1:25" x14ac:dyDescent="0.25">
      <c r="A58" s="378" t="s">
        <v>34</v>
      </c>
      <c r="B58" s="372">
        <v>0</v>
      </c>
      <c r="C58" s="373">
        <v>310</v>
      </c>
      <c r="D58" s="373">
        <v>250</v>
      </c>
      <c r="E58" s="373">
        <v>210</v>
      </c>
      <c r="F58" s="373">
        <v>180</v>
      </c>
      <c r="G58" s="373">
        <v>156</v>
      </c>
      <c r="H58" s="373">
        <v>140</v>
      </c>
      <c r="I58" s="373">
        <v>125</v>
      </c>
      <c r="J58" s="373">
        <v>0</v>
      </c>
      <c r="K58" s="373">
        <v>0</v>
      </c>
      <c r="L58" s="373">
        <v>0</v>
      </c>
      <c r="M58" s="373">
        <v>0</v>
      </c>
      <c r="N58" s="373">
        <v>0</v>
      </c>
      <c r="O58" s="373">
        <v>0</v>
      </c>
      <c r="P58" s="373">
        <v>0</v>
      </c>
      <c r="Q58" s="373">
        <v>0</v>
      </c>
      <c r="R58" s="373">
        <v>0</v>
      </c>
      <c r="S58" s="373">
        <v>0</v>
      </c>
      <c r="T58" s="373">
        <v>0</v>
      </c>
      <c r="U58" s="373">
        <v>0</v>
      </c>
      <c r="V58" s="373">
        <v>0</v>
      </c>
      <c r="W58" s="373">
        <v>0</v>
      </c>
      <c r="X58" s="373">
        <v>0</v>
      </c>
      <c r="Y58" s="382">
        <v>0</v>
      </c>
    </row>
    <row r="59" spans="1:25" ht="13" thickBot="1" x14ac:dyDescent="0.3">
      <c r="A59" s="379" t="s">
        <v>119</v>
      </c>
      <c r="B59" s="374">
        <f t="shared" ref="B59:X59" si="8">(C58+B58)*(C57-B57)/2</f>
        <v>0.155</v>
      </c>
      <c r="C59" s="375">
        <f t="shared" si="8"/>
        <v>5.32</v>
      </c>
      <c r="D59" s="375">
        <f t="shared" si="8"/>
        <v>4.6000000000000005</v>
      </c>
      <c r="E59" s="375">
        <f t="shared" si="8"/>
        <v>3.8999999999999995</v>
      </c>
      <c r="F59" s="375">
        <f t="shared" si="8"/>
        <v>3.3600000000000008</v>
      </c>
      <c r="G59" s="375">
        <f t="shared" si="8"/>
        <v>2.9600000000000004</v>
      </c>
      <c r="H59" s="375">
        <f t="shared" si="8"/>
        <v>2.2524999999999999</v>
      </c>
      <c r="I59" s="375">
        <f t="shared" si="8"/>
        <v>6.2499999999999188E-2</v>
      </c>
      <c r="J59" s="375">
        <f t="shared" si="8"/>
        <v>0</v>
      </c>
      <c r="K59" s="375">
        <f t="shared" si="8"/>
        <v>0</v>
      </c>
      <c r="L59" s="375">
        <f t="shared" si="8"/>
        <v>0</v>
      </c>
      <c r="M59" s="375">
        <f t="shared" si="8"/>
        <v>0</v>
      </c>
      <c r="N59" s="375">
        <f t="shared" si="8"/>
        <v>0</v>
      </c>
      <c r="O59" s="375">
        <f t="shared" si="8"/>
        <v>0</v>
      </c>
      <c r="P59" s="375">
        <f t="shared" si="8"/>
        <v>0</v>
      </c>
      <c r="Q59" s="375">
        <f t="shared" si="8"/>
        <v>0</v>
      </c>
      <c r="R59" s="375">
        <f t="shared" si="8"/>
        <v>0</v>
      </c>
      <c r="S59" s="375">
        <f t="shared" si="8"/>
        <v>0</v>
      </c>
      <c r="T59" s="375">
        <f t="shared" si="8"/>
        <v>0</v>
      </c>
      <c r="U59" s="375">
        <f t="shared" si="8"/>
        <v>0</v>
      </c>
      <c r="V59" s="375">
        <f t="shared" si="8"/>
        <v>0</v>
      </c>
      <c r="W59" s="375">
        <f t="shared" si="8"/>
        <v>0</v>
      </c>
      <c r="X59" s="375">
        <f t="shared" si="8"/>
        <v>0</v>
      </c>
      <c r="Y59" s="369"/>
    </row>
    <row r="60" spans="1:25" ht="13" thickBot="1" x14ac:dyDescent="0.3">
      <c r="A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</row>
    <row r="61" spans="1:25" ht="13.5" thickBot="1" x14ac:dyDescent="0.35">
      <c r="A61" s="361" t="s">
        <v>283</v>
      </c>
      <c r="B61" s="359">
        <f>ROW(A61)</f>
        <v>61</v>
      </c>
      <c r="C61" s="363" t="s">
        <v>118</v>
      </c>
      <c r="D61" s="353">
        <f>SUM(B64:Y64)</f>
        <v>25.874000000000006</v>
      </c>
      <c r="E61" s="363" t="s">
        <v>117</v>
      </c>
      <c r="F61" s="399">
        <f>D61/g/J61</f>
        <v>2.6375127420998985</v>
      </c>
      <c r="G61" s="363" t="s">
        <v>59</v>
      </c>
      <c r="H61" s="64">
        <v>1.1000000000000001</v>
      </c>
      <c r="I61" s="363" t="s">
        <v>274</v>
      </c>
      <c r="J61" s="355">
        <f>H61-L61</f>
        <v>1</v>
      </c>
      <c r="K61" s="363" t="s">
        <v>275</v>
      </c>
      <c r="L61" s="64">
        <v>0.1</v>
      </c>
      <c r="M61" s="363" t="s">
        <v>60</v>
      </c>
      <c r="N61" s="65">
        <f>0.5*R61</f>
        <v>150</v>
      </c>
      <c r="O61" s="363" t="s">
        <v>62</v>
      </c>
      <c r="P61" s="65">
        <v>150</v>
      </c>
      <c r="Q61" s="363" t="s">
        <v>63</v>
      </c>
      <c r="R61" s="65">
        <v>300</v>
      </c>
      <c r="S61" s="363" t="s">
        <v>64</v>
      </c>
      <c r="T61" s="65">
        <v>98</v>
      </c>
      <c r="U61" s="363" t="s">
        <v>57</v>
      </c>
      <c r="V61" s="66" t="s">
        <v>279</v>
      </c>
      <c r="W61" s="12"/>
      <c r="X61" s="12"/>
      <c r="Y61" s="12"/>
    </row>
    <row r="62" spans="1:25" x14ac:dyDescent="0.25">
      <c r="A62" s="362" t="s">
        <v>33</v>
      </c>
      <c r="B62" s="370">
        <v>0</v>
      </c>
      <c r="C62" s="371">
        <v>1E-3</v>
      </c>
      <c r="D62" s="371">
        <v>0.02</v>
      </c>
      <c r="E62" s="371">
        <v>0.04</v>
      </c>
      <c r="F62" s="371">
        <v>0.06</v>
      </c>
      <c r="G62" s="371">
        <v>0.08</v>
      </c>
      <c r="H62" s="371">
        <v>0.1</v>
      </c>
      <c r="I62" s="371">
        <v>0.12</v>
      </c>
      <c r="J62" s="371">
        <v>0.14000000000000001</v>
      </c>
      <c r="K62" s="371">
        <v>0.16400000000000001</v>
      </c>
      <c r="L62" s="371">
        <v>0.16500000000000001</v>
      </c>
      <c r="M62" s="371">
        <v>0.16500000000000001</v>
      </c>
      <c r="N62" s="371">
        <v>0.16500000000000001</v>
      </c>
      <c r="O62" s="371">
        <v>0.16500000000000001</v>
      </c>
      <c r="P62" s="371">
        <v>0.16500000000000001</v>
      </c>
      <c r="Q62" s="371">
        <v>0.16500000000000001</v>
      </c>
      <c r="R62" s="371">
        <v>0.16500000000000001</v>
      </c>
      <c r="S62" s="371">
        <v>0.16500000000000001</v>
      </c>
      <c r="T62" s="371">
        <v>0.16500000000000001</v>
      </c>
      <c r="U62" s="371">
        <v>0.16500000000000001</v>
      </c>
      <c r="V62" s="371">
        <v>0.16500000000000001</v>
      </c>
      <c r="W62" s="371">
        <v>0.16500000000000001</v>
      </c>
      <c r="X62" s="371">
        <v>0.16500000000000001</v>
      </c>
      <c r="Y62" s="381">
        <v>1000</v>
      </c>
    </row>
    <row r="63" spans="1:25" x14ac:dyDescent="0.25">
      <c r="A63" s="378" t="s">
        <v>34</v>
      </c>
      <c r="B63" s="372">
        <v>0</v>
      </c>
      <c r="C63" s="373">
        <v>310</v>
      </c>
      <c r="D63" s="373">
        <v>245</v>
      </c>
      <c r="E63" s="373">
        <v>200</v>
      </c>
      <c r="F63" s="373">
        <v>165</v>
      </c>
      <c r="G63" s="373">
        <v>143</v>
      </c>
      <c r="H63" s="373">
        <v>124</v>
      </c>
      <c r="I63" s="373">
        <v>108</v>
      </c>
      <c r="J63" s="373">
        <v>97</v>
      </c>
      <c r="K63" s="373">
        <v>85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82">
        <v>0</v>
      </c>
    </row>
    <row r="64" spans="1:25" ht="13" thickBot="1" x14ac:dyDescent="0.3">
      <c r="A64" s="379" t="s">
        <v>119</v>
      </c>
      <c r="B64" s="374">
        <f t="shared" ref="B64:X64" si="9">(C63+B63)*(C62-B62)/2</f>
        <v>0.155</v>
      </c>
      <c r="C64" s="375">
        <f t="shared" si="9"/>
        <v>5.2725</v>
      </c>
      <c r="D64" s="375">
        <f t="shared" si="9"/>
        <v>4.45</v>
      </c>
      <c r="E64" s="375">
        <f t="shared" si="9"/>
        <v>3.6499999999999995</v>
      </c>
      <c r="F64" s="375">
        <f t="shared" si="9"/>
        <v>3.0800000000000005</v>
      </c>
      <c r="G64" s="375">
        <f t="shared" si="9"/>
        <v>2.6700000000000004</v>
      </c>
      <c r="H64" s="375">
        <f t="shared" si="9"/>
        <v>2.319999999999999</v>
      </c>
      <c r="I64" s="375">
        <f t="shared" si="9"/>
        <v>2.0500000000000016</v>
      </c>
      <c r="J64" s="375">
        <f t="shared" si="9"/>
        <v>2.1839999999999993</v>
      </c>
      <c r="K64" s="375">
        <f t="shared" si="9"/>
        <v>4.2500000000000038E-2</v>
      </c>
      <c r="L64" s="375">
        <f t="shared" si="9"/>
        <v>0</v>
      </c>
      <c r="M64" s="375">
        <f t="shared" si="9"/>
        <v>0</v>
      </c>
      <c r="N64" s="375">
        <f t="shared" si="9"/>
        <v>0</v>
      </c>
      <c r="O64" s="375">
        <f t="shared" si="9"/>
        <v>0</v>
      </c>
      <c r="P64" s="375">
        <f t="shared" si="9"/>
        <v>0</v>
      </c>
      <c r="Q64" s="375">
        <f t="shared" si="9"/>
        <v>0</v>
      </c>
      <c r="R64" s="375">
        <f t="shared" si="9"/>
        <v>0</v>
      </c>
      <c r="S64" s="375">
        <f t="shared" si="9"/>
        <v>0</v>
      </c>
      <c r="T64" s="375">
        <f t="shared" si="9"/>
        <v>0</v>
      </c>
      <c r="U64" s="375">
        <f t="shared" si="9"/>
        <v>0</v>
      </c>
      <c r="V64" s="375">
        <f t="shared" si="9"/>
        <v>0</v>
      </c>
      <c r="W64" s="375">
        <f t="shared" si="9"/>
        <v>0</v>
      </c>
      <c r="X64" s="375">
        <f t="shared" si="9"/>
        <v>0</v>
      </c>
      <c r="Y64" s="369"/>
    </row>
    <row r="66" spans="1:26" ht="13.5" thickBot="1" x14ac:dyDescent="0.35">
      <c r="A66" s="6" t="s">
        <v>184</v>
      </c>
    </row>
    <row r="67" spans="1:26" ht="13.5" thickBot="1" x14ac:dyDescent="0.35">
      <c r="A67" s="361" t="s">
        <v>114</v>
      </c>
      <c r="B67" s="359">
        <f>ROW(A67)</f>
        <v>67</v>
      </c>
      <c r="C67" s="363" t="s">
        <v>118</v>
      </c>
      <c r="D67" s="353">
        <f>SUM(B70:Y70)</f>
        <v>2.65</v>
      </c>
      <c r="E67" s="363" t="s">
        <v>117</v>
      </c>
      <c r="F67" s="354">
        <f>D67/g/J67</f>
        <v>54.026503567787969</v>
      </c>
      <c r="G67" s="363" t="s">
        <v>59</v>
      </c>
      <c r="H67" s="64">
        <v>1.4999999999999999E-2</v>
      </c>
      <c r="I67" s="363" t="s">
        <v>274</v>
      </c>
      <c r="J67" s="355">
        <f>H67-L67</f>
        <v>4.9999999999999992E-3</v>
      </c>
      <c r="K67" s="363" t="s">
        <v>275</v>
      </c>
      <c r="L67" s="64">
        <v>0.01</v>
      </c>
      <c r="M67" s="363" t="s">
        <v>60</v>
      </c>
      <c r="N67" s="65">
        <v>30</v>
      </c>
      <c r="O67" s="363" t="s">
        <v>62</v>
      </c>
      <c r="P67" s="65">
        <v>30</v>
      </c>
      <c r="Q67" s="363" t="s">
        <v>63</v>
      </c>
      <c r="R67" s="65">
        <v>70</v>
      </c>
      <c r="S67" s="363" t="s">
        <v>64</v>
      </c>
      <c r="T67" s="65">
        <v>15</v>
      </c>
      <c r="U67" s="363" t="s">
        <v>57</v>
      </c>
      <c r="V67" s="66" t="s">
        <v>120</v>
      </c>
      <c r="W67" s="463" t="s">
        <v>398</v>
      </c>
      <c r="X67" s="465">
        <v>0.32</v>
      </c>
      <c r="Y67" s="463" t="s">
        <v>397</v>
      </c>
      <c r="Z67" s="358">
        <v>3</v>
      </c>
    </row>
    <row r="68" spans="1:26" x14ac:dyDescent="0.25">
      <c r="A68" s="362" t="s">
        <v>33</v>
      </c>
      <c r="B68" s="370">
        <v>0</v>
      </c>
      <c r="C68" s="371">
        <v>0.2</v>
      </c>
      <c r="D68" s="371">
        <v>0.3</v>
      </c>
      <c r="E68" s="371">
        <v>0.4</v>
      </c>
      <c r="F68" s="371">
        <v>0.5</v>
      </c>
      <c r="G68" s="371">
        <v>0.55000000000000004</v>
      </c>
      <c r="H68" s="371">
        <v>0.6</v>
      </c>
      <c r="I68" s="371">
        <v>0.6</v>
      </c>
      <c r="J68" s="371">
        <v>0.6</v>
      </c>
      <c r="K68" s="371">
        <v>0.6</v>
      </c>
      <c r="L68" s="371">
        <v>0.6</v>
      </c>
      <c r="M68" s="371">
        <v>0.6</v>
      </c>
      <c r="N68" s="371">
        <v>0.6</v>
      </c>
      <c r="O68" s="371">
        <v>0.6</v>
      </c>
      <c r="P68" s="371">
        <v>0.6</v>
      </c>
      <c r="Q68" s="371">
        <v>0.6</v>
      </c>
      <c r="R68" s="371">
        <v>0.6</v>
      </c>
      <c r="S68" s="371">
        <v>0.6</v>
      </c>
      <c r="T68" s="371">
        <v>0.6</v>
      </c>
      <c r="U68" s="371">
        <v>0.6</v>
      </c>
      <c r="V68" s="371">
        <v>0.6</v>
      </c>
      <c r="W68" s="371">
        <v>0.6</v>
      </c>
      <c r="X68" s="371">
        <v>0.6</v>
      </c>
      <c r="Y68" s="381">
        <v>1000</v>
      </c>
    </row>
    <row r="69" spans="1:26" x14ac:dyDescent="0.25">
      <c r="A69" s="378" t="s">
        <v>34</v>
      </c>
      <c r="B69" s="372">
        <v>0</v>
      </c>
      <c r="C69" s="373">
        <v>9</v>
      </c>
      <c r="D69" s="373">
        <v>4.5</v>
      </c>
      <c r="E69" s="373">
        <v>4</v>
      </c>
      <c r="F69" s="373">
        <v>4</v>
      </c>
      <c r="G69" s="373">
        <v>3</v>
      </c>
      <c r="H69" s="373">
        <v>0</v>
      </c>
      <c r="I69" s="373">
        <v>0</v>
      </c>
      <c r="J69" s="373">
        <v>0</v>
      </c>
      <c r="K69" s="373">
        <v>0</v>
      </c>
      <c r="L69" s="373">
        <v>0</v>
      </c>
      <c r="M69" s="373">
        <v>0</v>
      </c>
      <c r="N69" s="373">
        <v>0</v>
      </c>
      <c r="O69" s="373">
        <v>0</v>
      </c>
      <c r="P69" s="373">
        <v>0</v>
      </c>
      <c r="Q69" s="373">
        <v>0</v>
      </c>
      <c r="R69" s="373">
        <v>0</v>
      </c>
      <c r="S69" s="373">
        <v>0</v>
      </c>
      <c r="T69" s="373">
        <v>0</v>
      </c>
      <c r="U69" s="373">
        <v>0</v>
      </c>
      <c r="V69" s="373">
        <v>0</v>
      </c>
      <c r="W69" s="373">
        <v>0</v>
      </c>
      <c r="X69" s="373">
        <v>0</v>
      </c>
      <c r="Y69" s="382">
        <v>0</v>
      </c>
    </row>
    <row r="70" spans="1:26" ht="13" thickBot="1" x14ac:dyDescent="0.3">
      <c r="A70" s="379" t="s">
        <v>119</v>
      </c>
      <c r="B70" s="374">
        <f t="shared" ref="B70:X70" si="10">(C69+B69)*(C68-B68)/2</f>
        <v>0.9</v>
      </c>
      <c r="C70" s="375">
        <f t="shared" si="10"/>
        <v>0.67499999999999982</v>
      </c>
      <c r="D70" s="375">
        <f t="shared" si="10"/>
        <v>0.42500000000000016</v>
      </c>
      <c r="E70" s="375">
        <f t="shared" si="10"/>
        <v>0.39999999999999991</v>
      </c>
      <c r="F70" s="375">
        <f t="shared" si="10"/>
        <v>0.17500000000000016</v>
      </c>
      <c r="G70" s="375">
        <f t="shared" si="10"/>
        <v>7.49999999999999E-2</v>
      </c>
      <c r="H70" s="375">
        <f t="shared" si="10"/>
        <v>0</v>
      </c>
      <c r="I70" s="375">
        <f t="shared" si="10"/>
        <v>0</v>
      </c>
      <c r="J70" s="375">
        <f t="shared" si="10"/>
        <v>0</v>
      </c>
      <c r="K70" s="375">
        <f t="shared" si="10"/>
        <v>0</v>
      </c>
      <c r="L70" s="375">
        <f t="shared" si="10"/>
        <v>0</v>
      </c>
      <c r="M70" s="375">
        <f t="shared" si="10"/>
        <v>0</v>
      </c>
      <c r="N70" s="375">
        <f t="shared" si="10"/>
        <v>0</v>
      </c>
      <c r="O70" s="375">
        <f t="shared" si="10"/>
        <v>0</v>
      </c>
      <c r="P70" s="375">
        <f t="shared" si="10"/>
        <v>0</v>
      </c>
      <c r="Q70" s="375">
        <f t="shared" si="10"/>
        <v>0</v>
      </c>
      <c r="R70" s="375">
        <f t="shared" si="10"/>
        <v>0</v>
      </c>
      <c r="S70" s="375">
        <f t="shared" si="10"/>
        <v>0</v>
      </c>
      <c r="T70" s="375">
        <f t="shared" si="10"/>
        <v>0</v>
      </c>
      <c r="U70" s="375">
        <f t="shared" si="10"/>
        <v>0</v>
      </c>
      <c r="V70" s="375">
        <f t="shared" si="10"/>
        <v>0</v>
      </c>
      <c r="W70" s="375">
        <f t="shared" si="10"/>
        <v>0</v>
      </c>
      <c r="X70" s="375">
        <f t="shared" si="10"/>
        <v>0</v>
      </c>
      <c r="Y70" s="369"/>
    </row>
    <row r="71" spans="1:26" ht="13" thickBot="1" x14ac:dyDescent="0.3">
      <c r="A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</row>
    <row r="72" spans="1:26" ht="13.5" thickBot="1" x14ac:dyDescent="0.35">
      <c r="A72" s="361" t="s">
        <v>115</v>
      </c>
      <c r="B72" s="359">
        <f>ROW(A72)</f>
        <v>72</v>
      </c>
      <c r="C72" s="363" t="s">
        <v>118</v>
      </c>
      <c r="D72" s="353">
        <f>SUM(B75:Y75)</f>
        <v>5.25</v>
      </c>
      <c r="E72" s="363" t="s">
        <v>117</v>
      </c>
      <c r="F72" s="354">
        <f>D72/g/J72</f>
        <v>89.1946992864424</v>
      </c>
      <c r="G72" s="363" t="s">
        <v>59</v>
      </c>
      <c r="H72" s="64">
        <v>0.02</v>
      </c>
      <c r="I72" s="363" t="s">
        <v>274</v>
      </c>
      <c r="J72" s="355">
        <f>H72-L72</f>
        <v>6.0000000000000001E-3</v>
      </c>
      <c r="K72" s="363" t="s">
        <v>275</v>
      </c>
      <c r="L72" s="64">
        <v>1.4E-2</v>
      </c>
      <c r="M72" s="363" t="s">
        <v>60</v>
      </c>
      <c r="N72" s="65">
        <v>30</v>
      </c>
      <c r="O72" s="363" t="s">
        <v>62</v>
      </c>
      <c r="P72" s="65">
        <v>30</v>
      </c>
      <c r="Q72" s="363" t="s">
        <v>63</v>
      </c>
      <c r="R72" s="65">
        <v>70</v>
      </c>
      <c r="S72" s="363" t="s">
        <v>64</v>
      </c>
      <c r="T72" s="65">
        <v>15</v>
      </c>
      <c r="U72" s="363" t="s">
        <v>57</v>
      </c>
      <c r="V72" s="66" t="s">
        <v>120</v>
      </c>
      <c r="W72" s="463" t="s">
        <v>398</v>
      </c>
      <c r="X72" s="465">
        <v>1.2</v>
      </c>
      <c r="Y72" s="463" t="s">
        <v>397</v>
      </c>
      <c r="Z72" s="358">
        <v>4</v>
      </c>
    </row>
    <row r="73" spans="1:26" x14ac:dyDescent="0.25">
      <c r="A73" s="362" t="s">
        <v>33</v>
      </c>
      <c r="B73" s="370">
        <v>0</v>
      </c>
      <c r="C73" s="371">
        <v>0.2</v>
      </c>
      <c r="D73" s="371">
        <v>0.3</v>
      </c>
      <c r="E73" s="371">
        <v>0.55000000000000004</v>
      </c>
      <c r="F73" s="371">
        <v>1.05</v>
      </c>
      <c r="G73" s="371">
        <v>1.1499999999999999</v>
      </c>
      <c r="H73" s="371">
        <v>1.1499999999999999</v>
      </c>
      <c r="I73" s="371">
        <v>1.1499999999999999</v>
      </c>
      <c r="J73" s="371">
        <v>1.1499999999999999</v>
      </c>
      <c r="K73" s="371">
        <v>1.1499999999999999</v>
      </c>
      <c r="L73" s="371">
        <v>1.1499999999999999</v>
      </c>
      <c r="M73" s="371">
        <v>1.1499999999999999</v>
      </c>
      <c r="N73" s="371">
        <v>1.1499999999999999</v>
      </c>
      <c r="O73" s="371">
        <v>1.1499999999999999</v>
      </c>
      <c r="P73" s="371">
        <v>1.1499999999999999</v>
      </c>
      <c r="Q73" s="371">
        <v>1.1499999999999999</v>
      </c>
      <c r="R73" s="371">
        <v>1.1499999999999999</v>
      </c>
      <c r="S73" s="371">
        <v>1.1499999999999999</v>
      </c>
      <c r="T73" s="371">
        <v>1.1499999999999999</v>
      </c>
      <c r="U73" s="371">
        <v>1.1499999999999999</v>
      </c>
      <c r="V73" s="371">
        <v>1.1499999999999999</v>
      </c>
      <c r="W73" s="371">
        <v>1.1499999999999999</v>
      </c>
      <c r="X73" s="371">
        <v>1.1499999999999999</v>
      </c>
      <c r="Y73" s="381">
        <v>1000</v>
      </c>
    </row>
    <row r="74" spans="1:26" x14ac:dyDescent="0.25">
      <c r="A74" s="378" t="s">
        <v>34</v>
      </c>
      <c r="B74" s="372">
        <v>0</v>
      </c>
      <c r="C74" s="373">
        <v>10</v>
      </c>
      <c r="D74" s="373">
        <v>6</v>
      </c>
      <c r="E74" s="373">
        <v>4</v>
      </c>
      <c r="F74" s="373">
        <v>4</v>
      </c>
      <c r="G74" s="373">
        <v>0</v>
      </c>
      <c r="H74" s="373">
        <v>0</v>
      </c>
      <c r="I74" s="373">
        <v>0</v>
      </c>
      <c r="J74" s="373">
        <v>0</v>
      </c>
      <c r="K74" s="373">
        <v>0</v>
      </c>
      <c r="L74" s="373">
        <v>0</v>
      </c>
      <c r="M74" s="373">
        <v>0</v>
      </c>
      <c r="N74" s="373">
        <v>0</v>
      </c>
      <c r="O74" s="373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3">
        <v>0</v>
      </c>
      <c r="W74" s="373">
        <v>0</v>
      </c>
      <c r="X74" s="373">
        <v>0</v>
      </c>
      <c r="Y74" s="382">
        <v>0</v>
      </c>
    </row>
    <row r="75" spans="1:26" ht="13" thickBot="1" x14ac:dyDescent="0.3">
      <c r="A75" s="379" t="s">
        <v>119</v>
      </c>
      <c r="B75" s="374">
        <f t="shared" ref="B75:V75" si="11">(C74+B74)*(C73-B73)/2</f>
        <v>1</v>
      </c>
      <c r="C75" s="375">
        <f t="shared" si="11"/>
        <v>0.79999999999999982</v>
      </c>
      <c r="D75" s="375">
        <f t="shared" si="11"/>
        <v>1.2500000000000002</v>
      </c>
      <c r="E75" s="375">
        <f t="shared" si="11"/>
        <v>2</v>
      </c>
      <c r="F75" s="375">
        <f t="shared" si="11"/>
        <v>0.19999999999999973</v>
      </c>
      <c r="G75" s="375">
        <f t="shared" si="11"/>
        <v>0</v>
      </c>
      <c r="H75" s="375">
        <f t="shared" si="11"/>
        <v>0</v>
      </c>
      <c r="I75" s="375">
        <f t="shared" si="11"/>
        <v>0</v>
      </c>
      <c r="J75" s="375">
        <f>(K74+J74)*(K73-J73)/2</f>
        <v>0</v>
      </c>
      <c r="K75" s="375">
        <f t="shared" si="11"/>
        <v>0</v>
      </c>
      <c r="L75" s="375">
        <f t="shared" si="11"/>
        <v>0</v>
      </c>
      <c r="M75" s="375">
        <f t="shared" si="11"/>
        <v>0</v>
      </c>
      <c r="N75" s="375">
        <f t="shared" si="11"/>
        <v>0</v>
      </c>
      <c r="O75" s="375">
        <f t="shared" si="11"/>
        <v>0</v>
      </c>
      <c r="P75" s="375">
        <f t="shared" si="11"/>
        <v>0</v>
      </c>
      <c r="Q75" s="375">
        <f t="shared" si="11"/>
        <v>0</v>
      </c>
      <c r="R75" s="375">
        <f t="shared" si="11"/>
        <v>0</v>
      </c>
      <c r="S75" s="375">
        <f>(T74+S74)*(T73-S73)/2</f>
        <v>0</v>
      </c>
      <c r="T75" s="375">
        <f t="shared" si="11"/>
        <v>0</v>
      </c>
      <c r="U75" s="375">
        <f t="shared" si="11"/>
        <v>0</v>
      </c>
      <c r="V75" s="375">
        <f t="shared" si="11"/>
        <v>0</v>
      </c>
      <c r="W75" s="375">
        <f>(X74+W74)*(X73-W73)/2</f>
        <v>0</v>
      </c>
      <c r="X75" s="375">
        <f>(Y74+X74)*(Y73-X73)/2</f>
        <v>0</v>
      </c>
      <c r="Y75" s="369"/>
    </row>
    <row r="76" spans="1:26" ht="13" thickBot="1" x14ac:dyDescent="0.3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</row>
    <row r="77" spans="1:26" ht="13.5" thickBot="1" x14ac:dyDescent="0.35">
      <c r="A77" s="361" t="s">
        <v>116</v>
      </c>
      <c r="B77" s="359">
        <f>ROW(A77)</f>
        <v>77</v>
      </c>
      <c r="C77" s="363" t="s">
        <v>118</v>
      </c>
      <c r="D77" s="353">
        <f>SUM(B80:Y80)</f>
        <v>10.26</v>
      </c>
      <c r="E77" s="363" t="s">
        <v>117</v>
      </c>
      <c r="F77" s="354">
        <f>D77/g/J77</f>
        <v>80.451658433309802</v>
      </c>
      <c r="G77" s="363" t="s">
        <v>59</v>
      </c>
      <c r="H77" s="64">
        <v>2.4E-2</v>
      </c>
      <c r="I77" s="363" t="s">
        <v>274</v>
      </c>
      <c r="J77" s="355">
        <f>H77-L77</f>
        <v>1.3000000000000001E-2</v>
      </c>
      <c r="K77" s="363" t="s">
        <v>275</v>
      </c>
      <c r="L77" s="64">
        <v>1.0999999999999999E-2</v>
      </c>
      <c r="M77" s="363" t="s">
        <v>60</v>
      </c>
      <c r="N77" s="65">
        <v>30</v>
      </c>
      <c r="O77" s="363" t="s">
        <v>62</v>
      </c>
      <c r="P77" s="65">
        <v>30</v>
      </c>
      <c r="Q77" s="363" t="s">
        <v>63</v>
      </c>
      <c r="R77" s="65">
        <v>70</v>
      </c>
      <c r="S77" s="363" t="s">
        <v>64</v>
      </c>
      <c r="T77" s="65">
        <v>15</v>
      </c>
      <c r="U77" s="363" t="s">
        <v>57</v>
      </c>
      <c r="V77" s="66" t="s">
        <v>120</v>
      </c>
      <c r="W77" s="463" t="s">
        <v>398</v>
      </c>
      <c r="X77" s="465">
        <v>1.7</v>
      </c>
      <c r="Y77" s="463" t="s">
        <v>397</v>
      </c>
      <c r="Z77" s="358">
        <v>3</v>
      </c>
    </row>
    <row r="78" spans="1:26" x14ac:dyDescent="0.25">
      <c r="A78" s="362" t="s">
        <v>33</v>
      </c>
      <c r="B78" s="370">
        <v>0</v>
      </c>
      <c r="C78" s="371">
        <v>0.2</v>
      </c>
      <c r="D78" s="371">
        <v>0.3</v>
      </c>
      <c r="E78" s="371">
        <v>0.6</v>
      </c>
      <c r="F78" s="371">
        <v>0.8</v>
      </c>
      <c r="G78" s="371">
        <v>2</v>
      </c>
      <c r="H78" s="371">
        <v>2.1</v>
      </c>
      <c r="I78" s="371">
        <v>2.1</v>
      </c>
      <c r="J78" s="371">
        <v>2.1</v>
      </c>
      <c r="K78" s="371">
        <v>2.1</v>
      </c>
      <c r="L78" s="371">
        <v>2.1</v>
      </c>
      <c r="M78" s="371">
        <v>2.1</v>
      </c>
      <c r="N78" s="371">
        <v>2.1</v>
      </c>
      <c r="O78" s="371">
        <v>2.1</v>
      </c>
      <c r="P78" s="371">
        <v>2.1</v>
      </c>
      <c r="Q78" s="371">
        <v>2.1</v>
      </c>
      <c r="R78" s="371">
        <v>2.1</v>
      </c>
      <c r="S78" s="371">
        <v>2.1</v>
      </c>
      <c r="T78" s="371">
        <v>2.1</v>
      </c>
      <c r="U78" s="371">
        <v>2.1</v>
      </c>
      <c r="V78" s="371">
        <v>2.1</v>
      </c>
      <c r="W78" s="371">
        <v>2.1</v>
      </c>
      <c r="X78" s="371">
        <v>2.1</v>
      </c>
      <c r="Y78" s="381">
        <v>1000</v>
      </c>
    </row>
    <row r="79" spans="1:26" x14ac:dyDescent="0.25">
      <c r="A79" s="378" t="s">
        <v>34</v>
      </c>
      <c r="B79" s="372">
        <v>0</v>
      </c>
      <c r="C79" s="373">
        <v>11</v>
      </c>
      <c r="D79" s="373">
        <v>7</v>
      </c>
      <c r="E79" s="373">
        <v>4</v>
      </c>
      <c r="F79" s="373">
        <v>4.5999999999999996</v>
      </c>
      <c r="G79" s="373">
        <v>4.5999999999999996</v>
      </c>
      <c r="H79" s="373">
        <v>0</v>
      </c>
      <c r="I79" s="373">
        <v>0</v>
      </c>
      <c r="J79" s="373">
        <v>0</v>
      </c>
      <c r="K79" s="373">
        <v>0</v>
      </c>
      <c r="L79" s="373">
        <v>0</v>
      </c>
      <c r="M79" s="373">
        <v>0</v>
      </c>
      <c r="N79" s="373">
        <v>0</v>
      </c>
      <c r="O79" s="373">
        <v>0</v>
      </c>
      <c r="P79" s="373">
        <v>0</v>
      </c>
      <c r="Q79" s="373">
        <v>0</v>
      </c>
      <c r="R79" s="373">
        <v>0</v>
      </c>
      <c r="S79" s="373">
        <v>0</v>
      </c>
      <c r="T79" s="373">
        <v>0</v>
      </c>
      <c r="U79" s="373">
        <v>0</v>
      </c>
      <c r="V79" s="373">
        <v>0</v>
      </c>
      <c r="W79" s="373">
        <v>0</v>
      </c>
      <c r="X79" s="373">
        <v>0</v>
      </c>
      <c r="Y79" s="382">
        <v>0</v>
      </c>
    </row>
    <row r="80" spans="1:26" ht="13" thickBot="1" x14ac:dyDescent="0.3">
      <c r="A80" s="379" t="s">
        <v>119</v>
      </c>
      <c r="B80" s="374">
        <f t="shared" ref="B80:G80" si="12">(C79+B79)*(C78-B78)/2</f>
        <v>1.1000000000000001</v>
      </c>
      <c r="C80" s="375">
        <f t="shared" si="12"/>
        <v>0.8999999999999998</v>
      </c>
      <c r="D80" s="375">
        <f t="shared" si="12"/>
        <v>1.65</v>
      </c>
      <c r="E80" s="375">
        <f t="shared" si="12"/>
        <v>0.86000000000000021</v>
      </c>
      <c r="F80" s="375">
        <f t="shared" si="12"/>
        <v>5.52</v>
      </c>
      <c r="G80" s="375">
        <f t="shared" si="12"/>
        <v>0.23000000000000018</v>
      </c>
      <c r="H80" s="375">
        <f t="shared" ref="H80:V80" si="13">(I79+H79)*(I78-H78)/2</f>
        <v>0</v>
      </c>
      <c r="I80" s="375">
        <f t="shared" si="13"/>
        <v>0</v>
      </c>
      <c r="J80" s="375">
        <f>(K79+J79)*(K78-J78)/2</f>
        <v>0</v>
      </c>
      <c r="K80" s="375">
        <f t="shared" si="13"/>
        <v>0</v>
      </c>
      <c r="L80" s="375">
        <f t="shared" si="13"/>
        <v>0</v>
      </c>
      <c r="M80" s="375">
        <f t="shared" si="13"/>
        <v>0</v>
      </c>
      <c r="N80" s="375">
        <f t="shared" si="13"/>
        <v>0</v>
      </c>
      <c r="O80" s="375">
        <f t="shared" si="13"/>
        <v>0</v>
      </c>
      <c r="P80" s="375">
        <f t="shared" si="13"/>
        <v>0</v>
      </c>
      <c r="Q80" s="375">
        <f t="shared" si="13"/>
        <v>0</v>
      </c>
      <c r="R80" s="375">
        <f t="shared" si="13"/>
        <v>0</v>
      </c>
      <c r="S80" s="375">
        <f>(T79+S79)*(T78-S78)/2</f>
        <v>0</v>
      </c>
      <c r="T80" s="375">
        <f t="shared" si="13"/>
        <v>0</v>
      </c>
      <c r="U80" s="375">
        <f t="shared" si="13"/>
        <v>0</v>
      </c>
      <c r="V80" s="375">
        <f t="shared" si="13"/>
        <v>0</v>
      </c>
      <c r="W80" s="375">
        <f>(X79+W79)*(X78-W78)/2</f>
        <v>0</v>
      </c>
      <c r="X80" s="375">
        <f>(Y79+X79)*(Y78-X78)/2</f>
        <v>0</v>
      </c>
      <c r="Y80" s="369"/>
    </row>
    <row r="81" spans="1:26" ht="13" thickBot="1" x14ac:dyDescent="0.3">
      <c r="A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</row>
    <row r="82" spans="1:26" ht="13.5" thickBot="1" x14ac:dyDescent="0.35">
      <c r="A82" s="361" t="s">
        <v>333</v>
      </c>
      <c r="B82" s="359">
        <f>ROW(A82)</f>
        <v>82</v>
      </c>
      <c r="C82" s="363" t="s">
        <v>118</v>
      </c>
      <c r="D82" s="353">
        <f>SUM(B85:Y85)</f>
        <v>20.52</v>
      </c>
      <c r="E82" s="363" t="s">
        <v>117</v>
      </c>
      <c r="F82" s="354">
        <f>D82/g/J82</f>
        <v>80.451658433309802</v>
      </c>
      <c r="G82" s="363" t="s">
        <v>59</v>
      </c>
      <c r="H82" s="64">
        <f>H77*2</f>
        <v>4.8000000000000001E-2</v>
      </c>
      <c r="I82" s="363" t="s">
        <v>274</v>
      </c>
      <c r="J82" s="355">
        <f>H82-L82</f>
        <v>2.6000000000000002E-2</v>
      </c>
      <c r="K82" s="363" t="s">
        <v>275</v>
      </c>
      <c r="L82" s="64">
        <f>L77*2</f>
        <v>2.1999999999999999E-2</v>
      </c>
      <c r="M82" s="363" t="s">
        <v>60</v>
      </c>
      <c r="N82" s="65">
        <v>30</v>
      </c>
      <c r="O82" s="363" t="s">
        <v>62</v>
      </c>
      <c r="P82" s="65">
        <v>30</v>
      </c>
      <c r="Q82" s="363" t="s">
        <v>63</v>
      </c>
      <c r="R82" s="65">
        <v>70</v>
      </c>
      <c r="S82" s="363" t="s">
        <v>64</v>
      </c>
      <c r="T82" s="65">
        <v>30</v>
      </c>
      <c r="U82" s="363" t="s">
        <v>57</v>
      </c>
      <c r="V82" s="66" t="s">
        <v>120</v>
      </c>
      <c r="W82" s="463" t="s">
        <v>398</v>
      </c>
      <c r="X82" s="465">
        <v>1.7</v>
      </c>
      <c r="Y82" s="463" t="s">
        <v>397</v>
      </c>
      <c r="Z82" s="358">
        <v>3</v>
      </c>
    </row>
    <row r="83" spans="1:26" x14ac:dyDescent="0.25">
      <c r="A83" s="362" t="s">
        <v>33</v>
      </c>
      <c r="B83" s="370">
        <v>0</v>
      </c>
      <c r="C83" s="371">
        <v>0.2</v>
      </c>
      <c r="D83" s="371">
        <v>0.3</v>
      </c>
      <c r="E83" s="371">
        <v>0.6</v>
      </c>
      <c r="F83" s="371">
        <v>0.8</v>
      </c>
      <c r="G83" s="371">
        <v>2</v>
      </c>
      <c r="H83" s="371">
        <v>2.1</v>
      </c>
      <c r="I83" s="371">
        <v>2.1</v>
      </c>
      <c r="J83" s="371">
        <v>2.1</v>
      </c>
      <c r="K83" s="371">
        <v>2.1</v>
      </c>
      <c r="L83" s="371">
        <v>2.1</v>
      </c>
      <c r="M83" s="371">
        <v>2.1</v>
      </c>
      <c r="N83" s="371">
        <v>2.1</v>
      </c>
      <c r="O83" s="371">
        <v>2.1</v>
      </c>
      <c r="P83" s="371">
        <v>2.1</v>
      </c>
      <c r="Q83" s="371">
        <v>2.1</v>
      </c>
      <c r="R83" s="371">
        <v>2.1</v>
      </c>
      <c r="S83" s="371">
        <v>2.1</v>
      </c>
      <c r="T83" s="371">
        <v>2.1</v>
      </c>
      <c r="U83" s="371">
        <v>2.1</v>
      </c>
      <c r="V83" s="371">
        <v>2.1</v>
      </c>
      <c r="W83" s="371">
        <v>2.1</v>
      </c>
      <c r="X83" s="371">
        <v>2.1</v>
      </c>
      <c r="Y83" s="381">
        <v>1000</v>
      </c>
    </row>
    <row r="84" spans="1:26" x14ac:dyDescent="0.25">
      <c r="A84" s="378" t="s">
        <v>34</v>
      </c>
      <c r="B84" s="372">
        <f>B79*2</f>
        <v>0</v>
      </c>
      <c r="C84" s="373">
        <f t="shared" ref="C84:X84" si="14">C79*2</f>
        <v>22</v>
      </c>
      <c r="D84" s="373">
        <f t="shared" si="14"/>
        <v>14</v>
      </c>
      <c r="E84" s="373">
        <f t="shared" si="14"/>
        <v>8</v>
      </c>
      <c r="F84" s="373">
        <f t="shared" si="14"/>
        <v>9.1999999999999993</v>
      </c>
      <c r="G84" s="373">
        <f t="shared" si="14"/>
        <v>9.1999999999999993</v>
      </c>
      <c r="H84" s="373">
        <f t="shared" si="14"/>
        <v>0</v>
      </c>
      <c r="I84" s="373">
        <f t="shared" si="14"/>
        <v>0</v>
      </c>
      <c r="J84" s="373">
        <f t="shared" si="14"/>
        <v>0</v>
      </c>
      <c r="K84" s="373">
        <f t="shared" si="14"/>
        <v>0</v>
      </c>
      <c r="L84" s="373">
        <f t="shared" si="14"/>
        <v>0</v>
      </c>
      <c r="M84" s="373">
        <f t="shared" si="14"/>
        <v>0</v>
      </c>
      <c r="N84" s="373">
        <f t="shared" si="14"/>
        <v>0</v>
      </c>
      <c r="O84" s="373">
        <f t="shared" si="14"/>
        <v>0</v>
      </c>
      <c r="P84" s="373">
        <f t="shared" si="14"/>
        <v>0</v>
      </c>
      <c r="Q84" s="373">
        <f t="shared" si="14"/>
        <v>0</v>
      </c>
      <c r="R84" s="373">
        <f t="shared" si="14"/>
        <v>0</v>
      </c>
      <c r="S84" s="373">
        <f t="shared" si="14"/>
        <v>0</v>
      </c>
      <c r="T84" s="373">
        <f t="shared" si="14"/>
        <v>0</v>
      </c>
      <c r="U84" s="373">
        <f t="shared" si="14"/>
        <v>0</v>
      </c>
      <c r="V84" s="373">
        <f t="shared" si="14"/>
        <v>0</v>
      </c>
      <c r="W84" s="373">
        <f t="shared" si="14"/>
        <v>0</v>
      </c>
      <c r="X84" s="373">
        <f t="shared" si="14"/>
        <v>0</v>
      </c>
      <c r="Y84" s="382">
        <v>0</v>
      </c>
    </row>
    <row r="85" spans="1:26" ht="13" thickBot="1" x14ac:dyDescent="0.3">
      <c r="A85" s="379" t="s">
        <v>119</v>
      </c>
      <c r="B85" s="374">
        <f t="shared" ref="B85:X85" si="15">(C84+B84)*(C83-B83)/2</f>
        <v>2.2000000000000002</v>
      </c>
      <c r="C85" s="375">
        <f t="shared" si="15"/>
        <v>1.7999999999999996</v>
      </c>
      <c r="D85" s="375">
        <f t="shared" si="15"/>
        <v>3.3</v>
      </c>
      <c r="E85" s="375">
        <f t="shared" si="15"/>
        <v>1.7200000000000004</v>
      </c>
      <c r="F85" s="375">
        <f t="shared" si="15"/>
        <v>11.04</v>
      </c>
      <c r="G85" s="375">
        <f t="shared" si="15"/>
        <v>0.46000000000000035</v>
      </c>
      <c r="H85" s="375">
        <f t="shared" si="15"/>
        <v>0</v>
      </c>
      <c r="I85" s="375">
        <f t="shared" si="15"/>
        <v>0</v>
      </c>
      <c r="J85" s="375">
        <f t="shared" si="15"/>
        <v>0</v>
      </c>
      <c r="K85" s="375">
        <f t="shared" si="15"/>
        <v>0</v>
      </c>
      <c r="L85" s="375">
        <f t="shared" si="15"/>
        <v>0</v>
      </c>
      <c r="M85" s="375">
        <f t="shared" si="15"/>
        <v>0</v>
      </c>
      <c r="N85" s="375">
        <f t="shared" si="15"/>
        <v>0</v>
      </c>
      <c r="O85" s="375">
        <f t="shared" si="15"/>
        <v>0</v>
      </c>
      <c r="P85" s="375">
        <f t="shared" si="15"/>
        <v>0</v>
      </c>
      <c r="Q85" s="375">
        <f t="shared" si="15"/>
        <v>0</v>
      </c>
      <c r="R85" s="375">
        <f t="shared" si="15"/>
        <v>0</v>
      </c>
      <c r="S85" s="375">
        <f t="shared" si="15"/>
        <v>0</v>
      </c>
      <c r="T85" s="375">
        <f t="shared" si="15"/>
        <v>0</v>
      </c>
      <c r="U85" s="375">
        <f t="shared" si="15"/>
        <v>0</v>
      </c>
      <c r="V85" s="375">
        <f t="shared" si="15"/>
        <v>0</v>
      </c>
      <c r="W85" s="375">
        <f t="shared" si="15"/>
        <v>0</v>
      </c>
      <c r="X85" s="375">
        <f t="shared" si="15"/>
        <v>0</v>
      </c>
      <c r="Y85" s="369"/>
    </row>
    <row r="86" spans="1:26" ht="13" thickBot="1" x14ac:dyDescent="0.3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</row>
    <row r="87" spans="1:26" ht="13.5" thickBot="1" x14ac:dyDescent="0.35">
      <c r="A87" s="361" t="s">
        <v>334</v>
      </c>
      <c r="B87" s="359">
        <f>ROW(A87)</f>
        <v>87</v>
      </c>
      <c r="C87" s="363" t="s">
        <v>118</v>
      </c>
      <c r="D87" s="353">
        <f>SUM(B90:Y90)</f>
        <v>30.779999999999998</v>
      </c>
      <c r="E87" s="363" t="s">
        <v>117</v>
      </c>
      <c r="F87" s="354">
        <f>D87/g/J87</f>
        <v>80.451658433309774</v>
      </c>
      <c r="G87" s="363" t="s">
        <v>59</v>
      </c>
      <c r="H87" s="64">
        <f>H77*3</f>
        <v>7.2000000000000008E-2</v>
      </c>
      <c r="I87" s="363" t="s">
        <v>274</v>
      </c>
      <c r="J87" s="355">
        <f>H87-L87</f>
        <v>3.9000000000000007E-2</v>
      </c>
      <c r="K87" s="363" t="s">
        <v>275</v>
      </c>
      <c r="L87" s="64">
        <f>L77*3</f>
        <v>3.3000000000000002E-2</v>
      </c>
      <c r="M87" s="363" t="s">
        <v>60</v>
      </c>
      <c r="N87" s="65">
        <v>30</v>
      </c>
      <c r="O87" s="363" t="s">
        <v>62</v>
      </c>
      <c r="P87" s="65">
        <v>30</v>
      </c>
      <c r="Q87" s="363" t="s">
        <v>63</v>
      </c>
      <c r="R87" s="65">
        <v>70</v>
      </c>
      <c r="S87" s="363" t="s">
        <v>64</v>
      </c>
      <c r="T87" s="65">
        <v>40</v>
      </c>
      <c r="U87" s="363" t="s">
        <v>57</v>
      </c>
      <c r="V87" s="66" t="s">
        <v>120</v>
      </c>
      <c r="W87" s="463" t="s">
        <v>398</v>
      </c>
      <c r="X87" s="465">
        <v>1.7</v>
      </c>
      <c r="Y87" s="463" t="s">
        <v>397</v>
      </c>
      <c r="Z87" s="358">
        <v>3</v>
      </c>
    </row>
    <row r="88" spans="1:26" x14ac:dyDescent="0.25">
      <c r="A88" s="362" t="s">
        <v>33</v>
      </c>
      <c r="B88" s="370">
        <v>0</v>
      </c>
      <c r="C88" s="371">
        <v>0.2</v>
      </c>
      <c r="D88" s="371">
        <v>0.3</v>
      </c>
      <c r="E88" s="371">
        <v>0.6</v>
      </c>
      <c r="F88" s="371">
        <v>0.8</v>
      </c>
      <c r="G88" s="371">
        <v>2</v>
      </c>
      <c r="H88" s="371">
        <v>2.1</v>
      </c>
      <c r="I88" s="371">
        <v>2.1</v>
      </c>
      <c r="J88" s="371">
        <v>2.1</v>
      </c>
      <c r="K88" s="371">
        <v>2.1</v>
      </c>
      <c r="L88" s="371">
        <v>2.1</v>
      </c>
      <c r="M88" s="371">
        <v>2.1</v>
      </c>
      <c r="N88" s="371">
        <v>2.1</v>
      </c>
      <c r="O88" s="371">
        <v>2.1</v>
      </c>
      <c r="P88" s="371">
        <v>2.1</v>
      </c>
      <c r="Q88" s="371">
        <v>2.1</v>
      </c>
      <c r="R88" s="371">
        <v>2.1</v>
      </c>
      <c r="S88" s="371">
        <v>2.1</v>
      </c>
      <c r="T88" s="371">
        <v>2.1</v>
      </c>
      <c r="U88" s="371">
        <v>2.1</v>
      </c>
      <c r="V88" s="371">
        <v>2.1</v>
      </c>
      <c r="W88" s="371">
        <v>2.1</v>
      </c>
      <c r="X88" s="371">
        <v>2.1</v>
      </c>
      <c r="Y88" s="381">
        <v>1000</v>
      </c>
    </row>
    <row r="89" spans="1:26" x14ac:dyDescent="0.25">
      <c r="A89" s="378" t="s">
        <v>34</v>
      </c>
      <c r="B89" s="372">
        <f>B79*3</f>
        <v>0</v>
      </c>
      <c r="C89" s="373">
        <f t="shared" ref="C89:X89" si="16">C79*3</f>
        <v>33</v>
      </c>
      <c r="D89" s="373">
        <f t="shared" si="16"/>
        <v>21</v>
      </c>
      <c r="E89" s="373">
        <f t="shared" si="16"/>
        <v>12</v>
      </c>
      <c r="F89" s="373">
        <f t="shared" si="16"/>
        <v>13.799999999999999</v>
      </c>
      <c r="G89" s="373">
        <f t="shared" si="16"/>
        <v>13.799999999999999</v>
      </c>
      <c r="H89" s="373">
        <f t="shared" si="16"/>
        <v>0</v>
      </c>
      <c r="I89" s="373">
        <f t="shared" si="16"/>
        <v>0</v>
      </c>
      <c r="J89" s="373">
        <f t="shared" si="16"/>
        <v>0</v>
      </c>
      <c r="K89" s="373">
        <f t="shared" si="16"/>
        <v>0</v>
      </c>
      <c r="L89" s="373">
        <f t="shared" si="16"/>
        <v>0</v>
      </c>
      <c r="M89" s="373">
        <f t="shared" si="16"/>
        <v>0</v>
      </c>
      <c r="N89" s="373">
        <f t="shared" si="16"/>
        <v>0</v>
      </c>
      <c r="O89" s="373">
        <f t="shared" si="16"/>
        <v>0</v>
      </c>
      <c r="P89" s="373">
        <f t="shared" si="16"/>
        <v>0</v>
      </c>
      <c r="Q89" s="373">
        <f t="shared" si="16"/>
        <v>0</v>
      </c>
      <c r="R89" s="373">
        <f t="shared" si="16"/>
        <v>0</v>
      </c>
      <c r="S89" s="373">
        <f t="shared" si="16"/>
        <v>0</v>
      </c>
      <c r="T89" s="373">
        <f t="shared" si="16"/>
        <v>0</v>
      </c>
      <c r="U89" s="373">
        <f t="shared" si="16"/>
        <v>0</v>
      </c>
      <c r="V89" s="373">
        <f t="shared" si="16"/>
        <v>0</v>
      </c>
      <c r="W89" s="373">
        <f t="shared" si="16"/>
        <v>0</v>
      </c>
      <c r="X89" s="373">
        <f t="shared" si="16"/>
        <v>0</v>
      </c>
      <c r="Y89" s="382">
        <v>0</v>
      </c>
    </row>
    <row r="90" spans="1:26" ht="13" thickBot="1" x14ac:dyDescent="0.3">
      <c r="A90" s="379" t="s">
        <v>119</v>
      </c>
      <c r="B90" s="374">
        <f t="shared" ref="B90:X90" si="17">(C89+B89)*(C88-B88)/2</f>
        <v>3.3000000000000003</v>
      </c>
      <c r="C90" s="375">
        <f t="shared" si="17"/>
        <v>2.6999999999999993</v>
      </c>
      <c r="D90" s="375">
        <f t="shared" si="17"/>
        <v>4.95</v>
      </c>
      <c r="E90" s="375">
        <f t="shared" si="17"/>
        <v>2.5800000000000005</v>
      </c>
      <c r="F90" s="375">
        <f t="shared" si="17"/>
        <v>16.559999999999999</v>
      </c>
      <c r="G90" s="375">
        <f t="shared" si="17"/>
        <v>0.69000000000000061</v>
      </c>
      <c r="H90" s="375">
        <f t="shared" si="17"/>
        <v>0</v>
      </c>
      <c r="I90" s="375">
        <f t="shared" si="17"/>
        <v>0</v>
      </c>
      <c r="J90" s="375">
        <f t="shared" si="17"/>
        <v>0</v>
      </c>
      <c r="K90" s="375">
        <f t="shared" si="17"/>
        <v>0</v>
      </c>
      <c r="L90" s="375">
        <f t="shared" si="17"/>
        <v>0</v>
      </c>
      <c r="M90" s="375">
        <f t="shared" si="17"/>
        <v>0</v>
      </c>
      <c r="N90" s="375">
        <f t="shared" si="17"/>
        <v>0</v>
      </c>
      <c r="O90" s="375">
        <f t="shared" si="17"/>
        <v>0</v>
      </c>
      <c r="P90" s="375">
        <f t="shared" si="17"/>
        <v>0</v>
      </c>
      <c r="Q90" s="375">
        <f t="shared" si="17"/>
        <v>0</v>
      </c>
      <c r="R90" s="375">
        <f t="shared" si="17"/>
        <v>0</v>
      </c>
      <c r="S90" s="375">
        <f t="shared" si="17"/>
        <v>0</v>
      </c>
      <c r="T90" s="375">
        <f t="shared" si="17"/>
        <v>0</v>
      </c>
      <c r="U90" s="375">
        <f t="shared" si="17"/>
        <v>0</v>
      </c>
      <c r="V90" s="375">
        <f t="shared" si="17"/>
        <v>0</v>
      </c>
      <c r="W90" s="375">
        <f t="shared" si="17"/>
        <v>0</v>
      </c>
      <c r="X90" s="375">
        <f t="shared" si="17"/>
        <v>0</v>
      </c>
      <c r="Y90" s="369"/>
    </row>
    <row r="91" spans="1:26" ht="13" thickBot="1" x14ac:dyDescent="0.3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</row>
    <row r="92" spans="1:26" ht="13.5" thickBot="1" x14ac:dyDescent="0.35">
      <c r="A92" s="361" t="s">
        <v>545</v>
      </c>
      <c r="B92" s="359">
        <f>ROW(A92)</f>
        <v>92</v>
      </c>
      <c r="C92" s="363" t="s">
        <v>118</v>
      </c>
      <c r="D92" s="353">
        <f>SUM(B95:Y95)</f>
        <v>19.961989000000003</v>
      </c>
      <c r="E92" s="363" t="s">
        <v>117</v>
      </c>
      <c r="F92" s="354">
        <f>D92/g/J92</f>
        <v>118.30588744280873</v>
      </c>
      <c r="G92" s="363" t="s">
        <v>59</v>
      </c>
      <c r="H92" s="64">
        <v>2.8199999999999999E-2</v>
      </c>
      <c r="I92" s="363" t="s">
        <v>274</v>
      </c>
      <c r="J92" s="355">
        <f>H92-L92</f>
        <v>1.72E-2</v>
      </c>
      <c r="K92" s="363" t="s">
        <v>275</v>
      </c>
      <c r="L92" s="64">
        <v>1.0999999999999999E-2</v>
      </c>
      <c r="M92" s="363" t="s">
        <v>60</v>
      </c>
      <c r="N92" s="65">
        <v>30</v>
      </c>
      <c r="O92" s="363" t="s">
        <v>62</v>
      </c>
      <c r="P92" s="65">
        <v>30</v>
      </c>
      <c r="Q92" s="363" t="s">
        <v>63</v>
      </c>
      <c r="R92" s="65">
        <v>70</v>
      </c>
      <c r="S92" s="363" t="s">
        <v>64</v>
      </c>
      <c r="T92" s="65">
        <v>18</v>
      </c>
      <c r="U92" s="363" t="s">
        <v>57</v>
      </c>
      <c r="V92" s="66" t="s">
        <v>405</v>
      </c>
      <c r="W92" s="463" t="s">
        <v>398</v>
      </c>
      <c r="X92" s="465">
        <v>2.1</v>
      </c>
      <c r="Y92" s="463" t="s">
        <v>397</v>
      </c>
      <c r="Z92" s="358">
        <v>7</v>
      </c>
    </row>
    <row r="93" spans="1:26" x14ac:dyDescent="0.25">
      <c r="A93" s="362" t="s">
        <v>33</v>
      </c>
      <c r="B93" s="370">
        <v>0</v>
      </c>
      <c r="C93" s="472">
        <v>0.04</v>
      </c>
      <c r="D93" s="472">
        <v>0.11600000000000001</v>
      </c>
      <c r="E93" s="472">
        <v>0.21299999999999999</v>
      </c>
      <c r="F93" s="472">
        <v>0.28599999999999998</v>
      </c>
      <c r="G93" s="472">
        <v>0.32900000000000001</v>
      </c>
      <c r="H93" s="472">
        <v>0.36899999999999999</v>
      </c>
      <c r="I93" s="472">
        <v>0.42</v>
      </c>
      <c r="J93" s="472">
        <v>0.495</v>
      </c>
      <c r="K93" s="472">
        <v>0.59699999999999998</v>
      </c>
      <c r="L93" s="472">
        <v>1.7110000000000001</v>
      </c>
      <c r="M93" s="472">
        <v>1.8260000000000001</v>
      </c>
      <c r="N93" s="472">
        <v>1.917</v>
      </c>
      <c r="O93" s="472">
        <v>1.9750000000000001</v>
      </c>
      <c r="P93" s="472">
        <v>2.206</v>
      </c>
      <c r="Q93" s="472">
        <v>2.242</v>
      </c>
      <c r="R93" s="371">
        <v>2.5</v>
      </c>
      <c r="S93" s="371">
        <v>2.5</v>
      </c>
      <c r="T93" s="371">
        <v>2.5</v>
      </c>
      <c r="U93" s="371">
        <v>2.5</v>
      </c>
      <c r="V93" s="371">
        <v>2.5</v>
      </c>
      <c r="W93" s="371">
        <v>2.5</v>
      </c>
      <c r="X93" s="371">
        <v>2.5</v>
      </c>
      <c r="Y93" s="381">
        <v>1000</v>
      </c>
    </row>
    <row r="94" spans="1:26" x14ac:dyDescent="0.25">
      <c r="A94" s="378" t="s">
        <v>34</v>
      </c>
      <c r="B94" s="372">
        <v>0</v>
      </c>
      <c r="C94" s="472">
        <v>2.1110000000000002</v>
      </c>
      <c r="D94" s="472">
        <v>9.6850000000000005</v>
      </c>
      <c r="E94" s="472">
        <v>25</v>
      </c>
      <c r="F94" s="472">
        <v>15.738</v>
      </c>
      <c r="G94" s="472">
        <v>12.472</v>
      </c>
      <c r="H94" s="472">
        <v>10.67</v>
      </c>
      <c r="I94" s="472">
        <v>9.7129999999999992</v>
      </c>
      <c r="J94" s="472">
        <v>9.1780000000000008</v>
      </c>
      <c r="K94" s="472">
        <v>8.8960000000000008</v>
      </c>
      <c r="L94" s="472">
        <v>8.9250000000000007</v>
      </c>
      <c r="M94" s="472">
        <v>8.6989999999999998</v>
      </c>
      <c r="N94" s="472">
        <v>8.0519999999999996</v>
      </c>
      <c r="O94" s="472">
        <v>6.9539999999999997</v>
      </c>
      <c r="P94" s="472">
        <v>1.07</v>
      </c>
      <c r="Q94" s="472">
        <v>0</v>
      </c>
      <c r="R94" s="373">
        <v>0</v>
      </c>
      <c r="S94" s="373">
        <v>0</v>
      </c>
      <c r="T94" s="373">
        <v>0</v>
      </c>
      <c r="U94" s="373">
        <v>0</v>
      </c>
      <c r="V94" s="373">
        <v>0</v>
      </c>
      <c r="W94" s="373">
        <v>0</v>
      </c>
      <c r="X94" s="373">
        <v>0</v>
      </c>
      <c r="Y94" s="382">
        <v>0</v>
      </c>
    </row>
    <row r="95" spans="1:26" ht="13" thickBot="1" x14ac:dyDescent="0.3">
      <c r="A95" s="379" t="s">
        <v>119</v>
      </c>
      <c r="B95" s="374">
        <f t="shared" ref="B95:X95" si="18">(C94+B94)*(C93-B93)/2</f>
        <v>4.2220000000000008E-2</v>
      </c>
      <c r="C95" s="375">
        <f t="shared" si="18"/>
        <v>0.44824800000000009</v>
      </c>
      <c r="D95" s="375">
        <f t="shared" si="18"/>
        <v>1.6822225</v>
      </c>
      <c r="E95" s="375">
        <f t="shared" si="18"/>
        <v>1.4869369999999995</v>
      </c>
      <c r="F95" s="375">
        <f t="shared" si="18"/>
        <v>0.60651500000000058</v>
      </c>
      <c r="G95" s="375">
        <f t="shared" si="18"/>
        <v>0.46283999999999975</v>
      </c>
      <c r="H95" s="375">
        <f t="shared" si="18"/>
        <v>0.51976649999999991</v>
      </c>
      <c r="I95" s="375">
        <f t="shared" si="18"/>
        <v>0.7084125</v>
      </c>
      <c r="J95" s="375">
        <f t="shared" si="18"/>
        <v>0.92177399999999987</v>
      </c>
      <c r="K95" s="375">
        <f t="shared" si="18"/>
        <v>9.9262970000000017</v>
      </c>
      <c r="L95" s="375">
        <f t="shared" si="18"/>
        <v>1.0133799999999999</v>
      </c>
      <c r="M95" s="375">
        <f t="shared" si="18"/>
        <v>0.76217049999999964</v>
      </c>
      <c r="N95" s="375">
        <f t="shared" si="18"/>
        <v>0.43517400000000039</v>
      </c>
      <c r="O95" s="375">
        <f t="shared" si="18"/>
        <v>0.92677199999999937</v>
      </c>
      <c r="P95" s="375">
        <f t="shared" si="18"/>
        <v>1.9260000000000017E-2</v>
      </c>
      <c r="Q95" s="375">
        <f t="shared" si="18"/>
        <v>0</v>
      </c>
      <c r="R95" s="375">
        <f t="shared" si="18"/>
        <v>0</v>
      </c>
      <c r="S95" s="375">
        <f t="shared" si="18"/>
        <v>0</v>
      </c>
      <c r="T95" s="375">
        <f t="shared" si="18"/>
        <v>0</v>
      </c>
      <c r="U95" s="375">
        <f t="shared" si="18"/>
        <v>0</v>
      </c>
      <c r="V95" s="375">
        <f t="shared" si="18"/>
        <v>0</v>
      </c>
      <c r="W95" s="375">
        <f t="shared" si="18"/>
        <v>0</v>
      </c>
      <c r="X95" s="375">
        <f t="shared" si="18"/>
        <v>0</v>
      </c>
      <c r="Y95" s="369"/>
    </row>
    <row r="96" spans="1:26" ht="13" thickBot="1" x14ac:dyDescent="0.3">
      <c r="A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</row>
    <row r="97" spans="1:26" ht="13.5" thickBot="1" x14ac:dyDescent="0.35">
      <c r="A97" s="361" t="s">
        <v>543</v>
      </c>
      <c r="B97" s="359">
        <f>ROW(A97)</f>
        <v>97</v>
      </c>
      <c r="C97" s="363" t="s">
        <v>118</v>
      </c>
      <c r="D97" s="353">
        <f>SUM(B100:Y100)</f>
        <v>39.923978000000005</v>
      </c>
      <c r="E97" s="363" t="s">
        <v>117</v>
      </c>
      <c r="F97" s="354">
        <f>D97/g/J97</f>
        <v>118.30588744280873</v>
      </c>
      <c r="G97" s="363" t="s">
        <v>59</v>
      </c>
      <c r="H97" s="64">
        <f>H92*2</f>
        <v>5.6399999999999999E-2</v>
      </c>
      <c r="I97" s="363" t="s">
        <v>274</v>
      </c>
      <c r="J97" s="355">
        <f>H97-L97</f>
        <v>3.44E-2</v>
      </c>
      <c r="K97" s="363" t="s">
        <v>275</v>
      </c>
      <c r="L97" s="64">
        <f>L92*2</f>
        <v>2.1999999999999999E-2</v>
      </c>
      <c r="M97" s="363" t="s">
        <v>60</v>
      </c>
      <c r="N97" s="65">
        <v>30</v>
      </c>
      <c r="O97" s="363" t="s">
        <v>62</v>
      </c>
      <c r="P97" s="65">
        <v>30</v>
      </c>
      <c r="Q97" s="363" t="s">
        <v>63</v>
      </c>
      <c r="R97" s="65">
        <v>70</v>
      </c>
      <c r="S97" s="363" t="s">
        <v>64</v>
      </c>
      <c r="T97" s="65">
        <v>30</v>
      </c>
      <c r="U97" s="363" t="s">
        <v>57</v>
      </c>
      <c r="V97" s="66" t="s">
        <v>405</v>
      </c>
      <c r="W97" s="463" t="s">
        <v>398</v>
      </c>
      <c r="X97" s="465">
        <v>2.1</v>
      </c>
      <c r="Y97" s="463" t="s">
        <v>397</v>
      </c>
      <c r="Z97" s="358">
        <v>7</v>
      </c>
    </row>
    <row r="98" spans="1:26" x14ac:dyDescent="0.25">
      <c r="A98" s="362" t="s">
        <v>33</v>
      </c>
      <c r="B98" s="370">
        <v>0</v>
      </c>
      <c r="C98" s="371">
        <f>C93</f>
        <v>0.04</v>
      </c>
      <c r="D98" s="371">
        <f t="shared" ref="D98:X98" si="19">D93</f>
        <v>0.11600000000000001</v>
      </c>
      <c r="E98" s="371">
        <f t="shared" si="19"/>
        <v>0.21299999999999999</v>
      </c>
      <c r="F98" s="371">
        <f t="shared" si="19"/>
        <v>0.28599999999999998</v>
      </c>
      <c r="G98" s="371">
        <f t="shared" si="19"/>
        <v>0.32900000000000001</v>
      </c>
      <c r="H98" s="371">
        <f t="shared" si="19"/>
        <v>0.36899999999999999</v>
      </c>
      <c r="I98" s="371">
        <f t="shared" si="19"/>
        <v>0.42</v>
      </c>
      <c r="J98" s="371">
        <f t="shared" si="19"/>
        <v>0.495</v>
      </c>
      <c r="K98" s="371">
        <f t="shared" si="19"/>
        <v>0.59699999999999998</v>
      </c>
      <c r="L98" s="371">
        <f t="shared" si="19"/>
        <v>1.7110000000000001</v>
      </c>
      <c r="M98" s="371">
        <f t="shared" si="19"/>
        <v>1.8260000000000001</v>
      </c>
      <c r="N98" s="371">
        <f t="shared" si="19"/>
        <v>1.917</v>
      </c>
      <c r="O98" s="371">
        <f t="shared" si="19"/>
        <v>1.9750000000000001</v>
      </c>
      <c r="P98" s="371">
        <f t="shared" si="19"/>
        <v>2.206</v>
      </c>
      <c r="Q98" s="371">
        <f t="shared" si="19"/>
        <v>2.242</v>
      </c>
      <c r="R98" s="371">
        <f t="shared" si="19"/>
        <v>2.5</v>
      </c>
      <c r="S98" s="371">
        <f>S93</f>
        <v>2.5</v>
      </c>
      <c r="T98" s="371">
        <f t="shared" si="19"/>
        <v>2.5</v>
      </c>
      <c r="U98" s="371">
        <f t="shared" si="19"/>
        <v>2.5</v>
      </c>
      <c r="V98" s="371">
        <f t="shared" si="19"/>
        <v>2.5</v>
      </c>
      <c r="W98" s="371">
        <f t="shared" si="19"/>
        <v>2.5</v>
      </c>
      <c r="X98" s="371">
        <f t="shared" si="19"/>
        <v>2.5</v>
      </c>
      <c r="Y98" s="381">
        <v>1000</v>
      </c>
    </row>
    <row r="99" spans="1:26" x14ac:dyDescent="0.25">
      <c r="A99" s="378" t="s">
        <v>34</v>
      </c>
      <c r="B99" s="372">
        <f>B94*2</f>
        <v>0</v>
      </c>
      <c r="C99" s="373">
        <f t="shared" ref="C99:X99" si="20">C94*2</f>
        <v>4.2220000000000004</v>
      </c>
      <c r="D99" s="373">
        <f t="shared" si="20"/>
        <v>19.37</v>
      </c>
      <c r="E99" s="373">
        <f t="shared" si="20"/>
        <v>50</v>
      </c>
      <c r="F99" s="373">
        <f t="shared" si="20"/>
        <v>31.475999999999999</v>
      </c>
      <c r="G99" s="373">
        <f t="shared" si="20"/>
        <v>24.943999999999999</v>
      </c>
      <c r="H99" s="373">
        <f t="shared" si="20"/>
        <v>21.34</v>
      </c>
      <c r="I99" s="373">
        <f t="shared" si="20"/>
        <v>19.425999999999998</v>
      </c>
      <c r="J99" s="373">
        <f t="shared" si="20"/>
        <v>18.356000000000002</v>
      </c>
      <c r="K99" s="373">
        <f t="shared" si="20"/>
        <v>17.792000000000002</v>
      </c>
      <c r="L99" s="373">
        <f t="shared" si="20"/>
        <v>17.850000000000001</v>
      </c>
      <c r="M99" s="373">
        <f t="shared" si="20"/>
        <v>17.398</v>
      </c>
      <c r="N99" s="373">
        <f t="shared" si="20"/>
        <v>16.103999999999999</v>
      </c>
      <c r="O99" s="373">
        <f t="shared" si="20"/>
        <v>13.907999999999999</v>
      </c>
      <c r="P99" s="373">
        <f t="shared" si="20"/>
        <v>2.14</v>
      </c>
      <c r="Q99" s="373">
        <f t="shared" si="20"/>
        <v>0</v>
      </c>
      <c r="R99" s="373">
        <f t="shared" si="20"/>
        <v>0</v>
      </c>
      <c r="S99" s="373">
        <f t="shared" si="20"/>
        <v>0</v>
      </c>
      <c r="T99" s="373">
        <f t="shared" si="20"/>
        <v>0</v>
      </c>
      <c r="U99" s="373">
        <f t="shared" si="20"/>
        <v>0</v>
      </c>
      <c r="V99" s="373">
        <f t="shared" si="20"/>
        <v>0</v>
      </c>
      <c r="W99" s="373">
        <f t="shared" si="20"/>
        <v>0</v>
      </c>
      <c r="X99" s="373">
        <f t="shared" si="20"/>
        <v>0</v>
      </c>
      <c r="Y99" s="382">
        <v>0</v>
      </c>
    </row>
    <row r="100" spans="1:26" ht="13" thickBot="1" x14ac:dyDescent="0.3">
      <c r="A100" s="379" t="s">
        <v>119</v>
      </c>
      <c r="B100" s="374">
        <f t="shared" ref="B100:X100" si="21">(C99+B99)*(C98-B98)/2</f>
        <v>8.4440000000000015E-2</v>
      </c>
      <c r="C100" s="375">
        <f t="shared" si="21"/>
        <v>0.89649600000000018</v>
      </c>
      <c r="D100" s="375">
        <f t="shared" si="21"/>
        <v>3.3644449999999999</v>
      </c>
      <c r="E100" s="375">
        <f t="shared" si="21"/>
        <v>2.973873999999999</v>
      </c>
      <c r="F100" s="375">
        <f t="shared" si="21"/>
        <v>1.2130300000000012</v>
      </c>
      <c r="G100" s="375">
        <f t="shared" si="21"/>
        <v>0.9256799999999995</v>
      </c>
      <c r="H100" s="375">
        <f t="shared" si="21"/>
        <v>1.0395329999999998</v>
      </c>
      <c r="I100" s="375">
        <f t="shared" si="21"/>
        <v>1.416825</v>
      </c>
      <c r="J100" s="375">
        <f t="shared" si="21"/>
        <v>1.8435479999999997</v>
      </c>
      <c r="K100" s="375">
        <f t="shared" si="21"/>
        <v>19.852594000000003</v>
      </c>
      <c r="L100" s="375">
        <f t="shared" si="21"/>
        <v>2.0267599999999999</v>
      </c>
      <c r="M100" s="375">
        <f t="shared" si="21"/>
        <v>1.5243409999999993</v>
      </c>
      <c r="N100" s="375">
        <f t="shared" si="21"/>
        <v>0.87034800000000079</v>
      </c>
      <c r="O100" s="375">
        <f t="shared" si="21"/>
        <v>1.8535439999999987</v>
      </c>
      <c r="P100" s="375">
        <f t="shared" si="21"/>
        <v>3.8520000000000033E-2</v>
      </c>
      <c r="Q100" s="375">
        <f t="shared" si="21"/>
        <v>0</v>
      </c>
      <c r="R100" s="375">
        <f t="shared" si="21"/>
        <v>0</v>
      </c>
      <c r="S100" s="375">
        <f t="shared" si="21"/>
        <v>0</v>
      </c>
      <c r="T100" s="375">
        <f t="shared" si="21"/>
        <v>0</v>
      </c>
      <c r="U100" s="375">
        <f t="shared" si="21"/>
        <v>0</v>
      </c>
      <c r="V100" s="375">
        <f t="shared" si="21"/>
        <v>0</v>
      </c>
      <c r="W100" s="375">
        <f t="shared" si="21"/>
        <v>0</v>
      </c>
      <c r="X100" s="375">
        <f t="shared" si="21"/>
        <v>0</v>
      </c>
      <c r="Y100" s="369"/>
    </row>
    <row r="101" spans="1:26" ht="13" thickBot="1" x14ac:dyDescent="0.3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</row>
    <row r="102" spans="1:26" ht="13.5" thickBot="1" x14ac:dyDescent="0.35">
      <c r="A102" s="361" t="s">
        <v>544</v>
      </c>
      <c r="B102" s="359">
        <f>ROW(A102)</f>
        <v>102</v>
      </c>
      <c r="C102" s="363" t="s">
        <v>118</v>
      </c>
      <c r="D102" s="353">
        <f>SUM(B105:Y105)</f>
        <v>59.885967000000008</v>
      </c>
      <c r="E102" s="363" t="s">
        <v>117</v>
      </c>
      <c r="F102" s="354">
        <f>D102/g/J102</f>
        <v>118.30588744280874</v>
      </c>
      <c r="G102" s="363" t="s">
        <v>59</v>
      </c>
      <c r="H102" s="64">
        <f>H92*3</f>
        <v>8.4599999999999995E-2</v>
      </c>
      <c r="I102" s="363" t="s">
        <v>274</v>
      </c>
      <c r="J102" s="355">
        <f>H102-L102</f>
        <v>5.1599999999999993E-2</v>
      </c>
      <c r="K102" s="363" t="s">
        <v>275</v>
      </c>
      <c r="L102" s="64">
        <f>L92*3</f>
        <v>3.3000000000000002E-2</v>
      </c>
      <c r="M102" s="363" t="s">
        <v>60</v>
      </c>
      <c r="N102" s="65">
        <v>30</v>
      </c>
      <c r="O102" s="363" t="s">
        <v>62</v>
      </c>
      <c r="P102" s="65">
        <v>30</v>
      </c>
      <c r="Q102" s="363" t="s">
        <v>63</v>
      </c>
      <c r="R102" s="65">
        <v>70</v>
      </c>
      <c r="S102" s="363" t="s">
        <v>64</v>
      </c>
      <c r="T102" s="65">
        <v>40</v>
      </c>
      <c r="U102" s="363" t="s">
        <v>57</v>
      </c>
      <c r="V102" s="66" t="s">
        <v>405</v>
      </c>
      <c r="W102" s="463" t="s">
        <v>398</v>
      </c>
      <c r="X102" s="465">
        <v>2.1</v>
      </c>
      <c r="Y102" s="463" t="s">
        <v>397</v>
      </c>
      <c r="Z102" s="358">
        <v>7</v>
      </c>
    </row>
    <row r="103" spans="1:26" x14ac:dyDescent="0.25">
      <c r="A103" s="362" t="s">
        <v>33</v>
      </c>
      <c r="B103" s="370">
        <v>0</v>
      </c>
      <c r="C103" s="371">
        <f>C93</f>
        <v>0.04</v>
      </c>
      <c r="D103" s="371">
        <f t="shared" ref="D103:X103" si="22">D93</f>
        <v>0.11600000000000001</v>
      </c>
      <c r="E103" s="371">
        <f t="shared" si="22"/>
        <v>0.21299999999999999</v>
      </c>
      <c r="F103" s="371">
        <f t="shared" si="22"/>
        <v>0.28599999999999998</v>
      </c>
      <c r="G103" s="371">
        <f t="shared" si="22"/>
        <v>0.32900000000000001</v>
      </c>
      <c r="H103" s="371">
        <f t="shared" si="22"/>
        <v>0.36899999999999999</v>
      </c>
      <c r="I103" s="371">
        <f t="shared" si="22"/>
        <v>0.42</v>
      </c>
      <c r="J103" s="371">
        <f t="shared" si="22"/>
        <v>0.495</v>
      </c>
      <c r="K103" s="371">
        <f t="shared" si="22"/>
        <v>0.59699999999999998</v>
      </c>
      <c r="L103" s="371">
        <f t="shared" si="22"/>
        <v>1.7110000000000001</v>
      </c>
      <c r="M103" s="371">
        <f t="shared" si="22"/>
        <v>1.8260000000000001</v>
      </c>
      <c r="N103" s="371">
        <f t="shared" si="22"/>
        <v>1.917</v>
      </c>
      <c r="O103" s="371">
        <f t="shared" si="22"/>
        <v>1.9750000000000001</v>
      </c>
      <c r="P103" s="371">
        <f t="shared" si="22"/>
        <v>2.206</v>
      </c>
      <c r="Q103" s="371">
        <f t="shared" si="22"/>
        <v>2.242</v>
      </c>
      <c r="R103" s="371">
        <f t="shared" si="22"/>
        <v>2.5</v>
      </c>
      <c r="S103" s="371">
        <f t="shared" si="22"/>
        <v>2.5</v>
      </c>
      <c r="T103" s="371">
        <f t="shared" si="22"/>
        <v>2.5</v>
      </c>
      <c r="U103" s="371">
        <f t="shared" si="22"/>
        <v>2.5</v>
      </c>
      <c r="V103" s="371">
        <f t="shared" si="22"/>
        <v>2.5</v>
      </c>
      <c r="W103" s="371">
        <f t="shared" si="22"/>
        <v>2.5</v>
      </c>
      <c r="X103" s="371">
        <f t="shared" si="22"/>
        <v>2.5</v>
      </c>
      <c r="Y103" s="381">
        <v>1000</v>
      </c>
    </row>
    <row r="104" spans="1:26" x14ac:dyDescent="0.25">
      <c r="A104" s="378" t="s">
        <v>34</v>
      </c>
      <c r="B104" s="372">
        <f>B94*3</f>
        <v>0</v>
      </c>
      <c r="C104" s="373">
        <f t="shared" ref="C104:X104" si="23">C94*3</f>
        <v>6.3330000000000002</v>
      </c>
      <c r="D104" s="373">
        <f t="shared" si="23"/>
        <v>29.055</v>
      </c>
      <c r="E104" s="373">
        <f t="shared" si="23"/>
        <v>75</v>
      </c>
      <c r="F104" s="373">
        <f t="shared" si="23"/>
        <v>47.213999999999999</v>
      </c>
      <c r="G104" s="373">
        <f t="shared" si="23"/>
        <v>37.415999999999997</v>
      </c>
      <c r="H104" s="373">
        <f t="shared" si="23"/>
        <v>32.01</v>
      </c>
      <c r="I104" s="373">
        <f t="shared" si="23"/>
        <v>29.138999999999996</v>
      </c>
      <c r="J104" s="373">
        <f t="shared" si="23"/>
        <v>27.534000000000002</v>
      </c>
      <c r="K104" s="373">
        <f t="shared" si="23"/>
        <v>26.688000000000002</v>
      </c>
      <c r="L104" s="373">
        <f t="shared" si="23"/>
        <v>26.775000000000002</v>
      </c>
      <c r="M104" s="373">
        <f t="shared" si="23"/>
        <v>26.097000000000001</v>
      </c>
      <c r="N104" s="373">
        <f t="shared" si="23"/>
        <v>24.155999999999999</v>
      </c>
      <c r="O104" s="373">
        <f t="shared" si="23"/>
        <v>20.861999999999998</v>
      </c>
      <c r="P104" s="373">
        <f t="shared" si="23"/>
        <v>3.21</v>
      </c>
      <c r="Q104" s="373">
        <f t="shared" si="23"/>
        <v>0</v>
      </c>
      <c r="R104" s="373">
        <f t="shared" si="23"/>
        <v>0</v>
      </c>
      <c r="S104" s="373">
        <f t="shared" si="23"/>
        <v>0</v>
      </c>
      <c r="T104" s="373">
        <f t="shared" si="23"/>
        <v>0</v>
      </c>
      <c r="U104" s="373">
        <f t="shared" si="23"/>
        <v>0</v>
      </c>
      <c r="V104" s="373">
        <f t="shared" si="23"/>
        <v>0</v>
      </c>
      <c r="W104" s="373">
        <f t="shared" si="23"/>
        <v>0</v>
      </c>
      <c r="X104" s="373">
        <f t="shared" si="23"/>
        <v>0</v>
      </c>
      <c r="Y104" s="382">
        <v>0</v>
      </c>
    </row>
    <row r="105" spans="1:26" ht="13" thickBot="1" x14ac:dyDescent="0.3">
      <c r="A105" s="379" t="s">
        <v>119</v>
      </c>
      <c r="B105" s="374">
        <f t="shared" ref="B105:X105" si="24">(C104+B104)*(C103-B103)/2</f>
        <v>0.12665999999999999</v>
      </c>
      <c r="C105" s="375">
        <f t="shared" si="24"/>
        <v>1.3447440000000002</v>
      </c>
      <c r="D105" s="375">
        <f t="shared" si="24"/>
        <v>5.0466674999999999</v>
      </c>
      <c r="E105" s="375">
        <f t="shared" si="24"/>
        <v>4.4608109999999987</v>
      </c>
      <c r="F105" s="375">
        <f t="shared" si="24"/>
        <v>1.8195450000000015</v>
      </c>
      <c r="G105" s="375">
        <f t="shared" si="24"/>
        <v>1.3885199999999991</v>
      </c>
      <c r="H105" s="375">
        <f t="shared" si="24"/>
        <v>1.5592994999999996</v>
      </c>
      <c r="I105" s="375">
        <f t="shared" si="24"/>
        <v>2.1252375000000003</v>
      </c>
      <c r="J105" s="375">
        <f t="shared" si="24"/>
        <v>2.7653219999999998</v>
      </c>
      <c r="K105" s="375">
        <f t="shared" si="24"/>
        <v>29.778891000000009</v>
      </c>
      <c r="L105" s="375">
        <f t="shared" si="24"/>
        <v>3.0401399999999996</v>
      </c>
      <c r="M105" s="375">
        <f t="shared" si="24"/>
        <v>2.2865114999999991</v>
      </c>
      <c r="N105" s="375">
        <f t="shared" si="24"/>
        <v>1.3055220000000012</v>
      </c>
      <c r="O105" s="375">
        <f t="shared" si="24"/>
        <v>2.7803159999999982</v>
      </c>
      <c r="P105" s="375">
        <f t="shared" si="24"/>
        <v>5.7780000000000054E-2</v>
      </c>
      <c r="Q105" s="375">
        <f t="shared" si="24"/>
        <v>0</v>
      </c>
      <c r="R105" s="375">
        <f t="shared" si="24"/>
        <v>0</v>
      </c>
      <c r="S105" s="375">
        <f t="shared" si="24"/>
        <v>0</v>
      </c>
      <c r="T105" s="375">
        <f t="shared" si="24"/>
        <v>0</v>
      </c>
      <c r="U105" s="375">
        <f t="shared" si="24"/>
        <v>0</v>
      </c>
      <c r="V105" s="375">
        <f t="shared" si="24"/>
        <v>0</v>
      </c>
      <c r="W105" s="375">
        <f t="shared" si="24"/>
        <v>0</v>
      </c>
      <c r="X105" s="375">
        <f t="shared" si="24"/>
        <v>0</v>
      </c>
      <c r="Y105" s="369"/>
    </row>
    <row r="107" spans="1:26" ht="13.5" thickBot="1" x14ac:dyDescent="0.35">
      <c r="A107" s="6" t="s">
        <v>320</v>
      </c>
    </row>
    <row r="108" spans="1:26" ht="13.5" thickBot="1" x14ac:dyDescent="0.35">
      <c r="A108" s="361" t="s">
        <v>323</v>
      </c>
      <c r="B108" s="359">
        <f>ROW(A108)</f>
        <v>108</v>
      </c>
      <c r="C108" s="363" t="s">
        <v>118</v>
      </c>
      <c r="D108" s="353">
        <f>SUM(B111:Y111)</f>
        <v>24.269519000000003</v>
      </c>
      <c r="E108" s="363" t="s">
        <v>117</v>
      </c>
      <c r="F108" s="354">
        <f>D108/g/J108</f>
        <v>154.62231778797147</v>
      </c>
      <c r="G108" s="363" t="s">
        <v>59</v>
      </c>
      <c r="H108" s="64">
        <v>5.1999999999999998E-2</v>
      </c>
      <c r="I108" s="363" t="s">
        <v>274</v>
      </c>
      <c r="J108" s="355">
        <f>H108-L108</f>
        <v>1.6E-2</v>
      </c>
      <c r="K108" s="363" t="s">
        <v>275</v>
      </c>
      <c r="L108" s="64">
        <v>3.5999999999999997E-2</v>
      </c>
      <c r="M108" s="363" t="s">
        <v>60</v>
      </c>
      <c r="N108" s="396">
        <v>35</v>
      </c>
      <c r="O108" s="363" t="s">
        <v>62</v>
      </c>
      <c r="P108" s="396">
        <v>35</v>
      </c>
      <c r="Q108" s="363" t="s">
        <v>63</v>
      </c>
      <c r="R108" s="65">
        <v>69</v>
      </c>
      <c r="S108" s="363" t="s">
        <v>64</v>
      </c>
      <c r="T108" s="65">
        <v>24</v>
      </c>
      <c r="U108" s="363" t="s">
        <v>57</v>
      </c>
      <c r="V108" s="66" t="s">
        <v>403</v>
      </c>
      <c r="W108" s="463" t="s">
        <v>398</v>
      </c>
      <c r="X108" s="465">
        <v>1</v>
      </c>
      <c r="Y108" s="463" t="s">
        <v>397</v>
      </c>
      <c r="Z108" s="358">
        <v>13</v>
      </c>
    </row>
    <row r="109" spans="1:26" x14ac:dyDescent="0.25">
      <c r="A109" s="362" t="s">
        <v>33</v>
      </c>
      <c r="B109" s="370">
        <v>0</v>
      </c>
      <c r="C109" s="371">
        <v>8.0000000000000002E-3</v>
      </c>
      <c r="D109" s="371">
        <v>2.5999999999999999E-2</v>
      </c>
      <c r="E109" s="371">
        <v>3.7999999999999999E-2</v>
      </c>
      <c r="F109" s="371">
        <v>6.7000000000000004E-2</v>
      </c>
      <c r="G109" s="371">
        <v>0.10100000000000001</v>
      </c>
      <c r="H109" s="371">
        <v>0.33</v>
      </c>
      <c r="I109" s="371">
        <v>0.52800000000000002</v>
      </c>
      <c r="J109" s="371">
        <v>0.71599999999999997</v>
      </c>
      <c r="K109" s="371">
        <v>0.84099999999999997</v>
      </c>
      <c r="L109" s="371">
        <v>0.91200000000000003</v>
      </c>
      <c r="M109" s="371">
        <v>0.98699999999999999</v>
      </c>
      <c r="N109" s="371">
        <v>1.016</v>
      </c>
      <c r="O109" s="371">
        <v>1.0649999999999999</v>
      </c>
      <c r="P109" s="371">
        <v>1.087</v>
      </c>
      <c r="Q109" s="371">
        <v>2</v>
      </c>
      <c r="R109" s="371">
        <v>2</v>
      </c>
      <c r="S109" s="371">
        <v>2</v>
      </c>
      <c r="T109" s="371">
        <v>2</v>
      </c>
      <c r="U109" s="371">
        <v>2</v>
      </c>
      <c r="V109" s="371">
        <v>2</v>
      </c>
      <c r="W109" s="371">
        <v>2</v>
      </c>
      <c r="X109" s="371">
        <v>2</v>
      </c>
      <c r="Y109" s="381">
        <v>1000</v>
      </c>
    </row>
    <row r="110" spans="1:26" x14ac:dyDescent="0.25">
      <c r="A110" s="378" t="s">
        <v>34</v>
      </c>
      <c r="B110" s="372">
        <v>0</v>
      </c>
      <c r="C110" s="373">
        <v>18.292000000000002</v>
      </c>
      <c r="D110" s="373">
        <v>30</v>
      </c>
      <c r="E110" s="373">
        <v>30.792000000000002</v>
      </c>
      <c r="F110" s="373">
        <v>18.707999999999998</v>
      </c>
      <c r="G110" s="373">
        <v>21.875</v>
      </c>
      <c r="H110" s="373">
        <v>26.082999999999998</v>
      </c>
      <c r="I110" s="373">
        <v>28.042000000000002</v>
      </c>
      <c r="J110" s="373">
        <v>27.875</v>
      </c>
      <c r="K110" s="373">
        <v>23.542000000000002</v>
      </c>
      <c r="L110" s="373">
        <v>17.832999999999998</v>
      </c>
      <c r="M110" s="373">
        <v>7</v>
      </c>
      <c r="N110" s="373">
        <v>3.3330000000000002</v>
      </c>
      <c r="O110" s="373">
        <v>1.083</v>
      </c>
      <c r="P110" s="373">
        <v>0</v>
      </c>
      <c r="Q110" s="373">
        <v>0</v>
      </c>
      <c r="R110" s="373">
        <v>0</v>
      </c>
      <c r="S110" s="373">
        <v>0</v>
      </c>
      <c r="T110" s="373">
        <f>S110</f>
        <v>0</v>
      </c>
      <c r="U110" s="373">
        <f>T110</f>
        <v>0</v>
      </c>
      <c r="V110" s="373">
        <f>U110</f>
        <v>0</v>
      </c>
      <c r="W110" s="373">
        <f>V110</f>
        <v>0</v>
      </c>
      <c r="X110" s="373">
        <f>W110</f>
        <v>0</v>
      </c>
      <c r="Y110" s="382">
        <v>0</v>
      </c>
    </row>
    <row r="111" spans="1:26" ht="13" thickBot="1" x14ac:dyDescent="0.3">
      <c r="A111" s="379" t="s">
        <v>119</v>
      </c>
      <c r="B111" s="374">
        <f t="shared" ref="B111:V111" si="25">(C110+B110)*(C109-B109)/2</f>
        <v>7.3168000000000011E-2</v>
      </c>
      <c r="C111" s="375">
        <f t="shared" si="25"/>
        <v>0.43462799999999996</v>
      </c>
      <c r="D111" s="375">
        <f t="shared" si="25"/>
        <v>0.36475200000000002</v>
      </c>
      <c r="E111" s="375">
        <f t="shared" si="25"/>
        <v>0.71775000000000011</v>
      </c>
      <c r="F111" s="375">
        <f t="shared" si="25"/>
        <v>0.68991100000000005</v>
      </c>
      <c r="G111" s="375">
        <f t="shared" si="25"/>
        <v>5.4911909999999997</v>
      </c>
      <c r="H111" s="375">
        <f t="shared" si="25"/>
        <v>5.3583750000000006</v>
      </c>
      <c r="I111" s="375">
        <f t="shared" si="25"/>
        <v>5.2561979999999986</v>
      </c>
      <c r="J111" s="375">
        <f>(K110+J110)*(K109-J109)/2</f>
        <v>3.2135625000000001</v>
      </c>
      <c r="K111" s="375">
        <f t="shared" si="25"/>
        <v>1.4688125000000014</v>
      </c>
      <c r="L111" s="375">
        <f t="shared" si="25"/>
        <v>0.93123749999999939</v>
      </c>
      <c r="M111" s="375">
        <f t="shared" si="25"/>
        <v>0.14982850000000014</v>
      </c>
      <c r="N111" s="375">
        <f t="shared" si="25"/>
        <v>0.10819199999999986</v>
      </c>
      <c r="O111" s="375">
        <f t="shared" si="25"/>
        <v>1.191300000000001E-2</v>
      </c>
      <c r="P111" s="375">
        <f t="shared" si="25"/>
        <v>0</v>
      </c>
      <c r="Q111" s="375">
        <f t="shared" si="25"/>
        <v>0</v>
      </c>
      <c r="R111" s="375">
        <f t="shared" si="25"/>
        <v>0</v>
      </c>
      <c r="S111" s="375">
        <f>(T110+S110)*(T109-S109)/2</f>
        <v>0</v>
      </c>
      <c r="T111" s="375">
        <f t="shared" si="25"/>
        <v>0</v>
      </c>
      <c r="U111" s="375">
        <f t="shared" si="25"/>
        <v>0</v>
      </c>
      <c r="V111" s="375">
        <f t="shared" si="25"/>
        <v>0</v>
      </c>
      <c r="W111" s="375">
        <f>(X110+W110)*(X109-W109)/2</f>
        <v>0</v>
      </c>
      <c r="X111" s="375">
        <f>(Y110+X110)*(Y109-X109)/2</f>
        <v>0</v>
      </c>
      <c r="Y111" s="369"/>
    </row>
    <row r="112" spans="1:26" ht="13" thickBot="1" x14ac:dyDescent="0.3"/>
    <row r="113" spans="1:26" ht="13.5" thickBot="1" x14ac:dyDescent="0.35">
      <c r="A113" s="361" t="s">
        <v>421</v>
      </c>
      <c r="B113" s="359">
        <f>ROW(A113)</f>
        <v>113</v>
      </c>
      <c r="C113" s="363" t="s">
        <v>118</v>
      </c>
      <c r="D113" s="353">
        <f>SUM(B116:Y116)</f>
        <v>24.488898000000002</v>
      </c>
      <c r="E113" s="363" t="s">
        <v>117</v>
      </c>
      <c r="F113" s="354">
        <f>D113/g/J113</f>
        <v>121.771701350041</v>
      </c>
      <c r="G113" s="363" t="s">
        <v>59</v>
      </c>
      <c r="H113" s="64">
        <v>5.6500000000000002E-2</v>
      </c>
      <c r="I113" s="363" t="s">
        <v>274</v>
      </c>
      <c r="J113" s="355">
        <f>H113-L113</f>
        <v>2.0500000000000004E-2</v>
      </c>
      <c r="K113" s="363" t="s">
        <v>275</v>
      </c>
      <c r="L113" s="64">
        <v>3.5999999999999997E-2</v>
      </c>
      <c r="M113" s="363" t="s">
        <v>60</v>
      </c>
      <c r="N113" s="396">
        <v>35</v>
      </c>
      <c r="O113" s="363" t="s">
        <v>62</v>
      </c>
      <c r="P113" s="396">
        <v>35</v>
      </c>
      <c r="Q113" s="363" t="s">
        <v>63</v>
      </c>
      <c r="R113" s="65">
        <v>69</v>
      </c>
      <c r="S113" s="363" t="s">
        <v>64</v>
      </c>
      <c r="T113" s="65">
        <v>24</v>
      </c>
      <c r="U113" s="363" t="s">
        <v>57</v>
      </c>
      <c r="V113" s="66" t="s">
        <v>404</v>
      </c>
      <c r="W113" s="463" t="s">
        <v>398</v>
      </c>
      <c r="X113" s="465">
        <v>0.33</v>
      </c>
      <c r="Y113" s="463" t="s">
        <v>397</v>
      </c>
      <c r="Z113" s="358">
        <v>17</v>
      </c>
    </row>
    <row r="114" spans="1:26" x14ac:dyDescent="0.25">
      <c r="A114" s="362" t="s">
        <v>33</v>
      </c>
      <c r="B114" s="370">
        <v>0</v>
      </c>
      <c r="C114" s="371">
        <v>8.9999999999999993E-3</v>
      </c>
      <c r="D114" s="371">
        <v>1.2E-2</v>
      </c>
      <c r="E114" s="371">
        <v>2.3E-2</v>
      </c>
      <c r="F114" s="371">
        <v>2.7E-2</v>
      </c>
      <c r="G114" s="371">
        <v>4.7E-2</v>
      </c>
      <c r="H114" s="371">
        <v>9.1999999999999998E-2</v>
      </c>
      <c r="I114" s="371">
        <v>0.11799999999999999</v>
      </c>
      <c r="J114" s="371">
        <v>0.14099999999999999</v>
      </c>
      <c r="K114" s="371">
        <v>0.192</v>
      </c>
      <c r="L114" s="371">
        <v>0.222</v>
      </c>
      <c r="M114" s="371">
        <v>0.25</v>
      </c>
      <c r="N114" s="371">
        <v>0.26</v>
      </c>
      <c r="O114" s="371">
        <v>0.28100000000000003</v>
      </c>
      <c r="P114" s="371">
        <v>0.28699999999999998</v>
      </c>
      <c r="Q114" s="371">
        <v>0.30599999999999999</v>
      </c>
      <c r="R114" s="371">
        <v>0.314</v>
      </c>
      <c r="S114" s="371">
        <v>0.32600000000000001</v>
      </c>
      <c r="T114" s="371">
        <v>0.32900000000000001</v>
      </c>
      <c r="U114" s="371">
        <v>0.5</v>
      </c>
      <c r="V114" s="371">
        <v>1</v>
      </c>
      <c r="W114" s="371">
        <v>2</v>
      </c>
      <c r="X114" s="371">
        <v>2</v>
      </c>
      <c r="Y114" s="381">
        <v>1000</v>
      </c>
    </row>
    <row r="115" spans="1:26" x14ac:dyDescent="0.25">
      <c r="A115" s="378" t="s">
        <v>34</v>
      </c>
      <c r="B115" s="372">
        <v>0</v>
      </c>
      <c r="C115" s="373">
        <v>84.212999999999994</v>
      </c>
      <c r="D115" s="373">
        <v>95.099000000000004</v>
      </c>
      <c r="E115" s="373">
        <v>77.08</v>
      </c>
      <c r="F115" s="373">
        <v>68.697000000000003</v>
      </c>
      <c r="G115" s="373">
        <v>73.451999999999998</v>
      </c>
      <c r="H115" s="373">
        <v>81.834999999999994</v>
      </c>
      <c r="I115" s="373">
        <v>83.837000000000003</v>
      </c>
      <c r="J115" s="373">
        <v>86.465000000000003</v>
      </c>
      <c r="K115" s="373">
        <v>86.965999999999994</v>
      </c>
      <c r="L115" s="373">
        <v>85.338999999999999</v>
      </c>
      <c r="M115" s="373">
        <v>80.082999999999998</v>
      </c>
      <c r="N115" s="373">
        <v>78.331999999999994</v>
      </c>
      <c r="O115" s="373">
        <v>82.960999999999999</v>
      </c>
      <c r="P115" s="373">
        <v>78.206000000000003</v>
      </c>
      <c r="Q115" s="373">
        <v>24.776</v>
      </c>
      <c r="R115" s="373">
        <v>14.14</v>
      </c>
      <c r="S115" s="373">
        <v>8.5090000000000003</v>
      </c>
      <c r="T115" s="373">
        <v>0</v>
      </c>
      <c r="U115" s="373">
        <f>T115</f>
        <v>0</v>
      </c>
      <c r="V115" s="373">
        <f>U115</f>
        <v>0</v>
      </c>
      <c r="W115" s="373">
        <f>V115</f>
        <v>0</v>
      </c>
      <c r="X115" s="373">
        <f>W115</f>
        <v>0</v>
      </c>
      <c r="Y115" s="382">
        <v>0</v>
      </c>
    </row>
    <row r="116" spans="1:26" ht="13" thickBot="1" x14ac:dyDescent="0.3">
      <c r="A116" s="379" t="s">
        <v>119</v>
      </c>
      <c r="B116" s="374">
        <f t="shared" ref="B116:V116" si="26">(C115+B115)*(C114-B114)/2</f>
        <v>0.37895849999999992</v>
      </c>
      <c r="C116" s="375">
        <f t="shared" si="26"/>
        <v>0.2689680000000001</v>
      </c>
      <c r="D116" s="375">
        <f t="shared" si="26"/>
        <v>0.94698450000000001</v>
      </c>
      <c r="E116" s="375">
        <f t="shared" si="26"/>
        <v>0.29155399999999998</v>
      </c>
      <c r="F116" s="375">
        <f t="shared" si="26"/>
        <v>1.4214900000000001</v>
      </c>
      <c r="G116" s="375">
        <f t="shared" si="26"/>
        <v>3.4939574999999992</v>
      </c>
      <c r="H116" s="375">
        <f t="shared" si="26"/>
        <v>2.1537359999999994</v>
      </c>
      <c r="I116" s="375">
        <f t="shared" si="26"/>
        <v>1.9584729999999997</v>
      </c>
      <c r="J116" s="375">
        <f>(K115+J115)*(K114-J114)/2</f>
        <v>4.4224905000000012</v>
      </c>
      <c r="K116" s="375">
        <f t="shared" si="26"/>
        <v>2.5845750000000001</v>
      </c>
      <c r="L116" s="375">
        <f t="shared" si="26"/>
        <v>2.3159079999999999</v>
      </c>
      <c r="M116" s="375">
        <f t="shared" si="26"/>
        <v>0.79207500000000064</v>
      </c>
      <c r="N116" s="375">
        <f t="shared" si="26"/>
        <v>1.6935765000000016</v>
      </c>
      <c r="O116" s="375">
        <f t="shared" si="26"/>
        <v>0.48350099999999596</v>
      </c>
      <c r="P116" s="375">
        <f t="shared" si="26"/>
        <v>0.97832900000000089</v>
      </c>
      <c r="Q116" s="375">
        <f t="shared" si="26"/>
        <v>0.15566400000000014</v>
      </c>
      <c r="R116" s="375">
        <f t="shared" si="26"/>
        <v>0.13589400000000013</v>
      </c>
      <c r="S116" s="375">
        <f>(T115+S115)*(T114-S114)/2</f>
        <v>1.2763500000000013E-2</v>
      </c>
      <c r="T116" s="375">
        <f t="shared" si="26"/>
        <v>0</v>
      </c>
      <c r="U116" s="375">
        <f t="shared" si="26"/>
        <v>0</v>
      </c>
      <c r="V116" s="375">
        <f t="shared" si="26"/>
        <v>0</v>
      </c>
      <c r="W116" s="375">
        <f>(X115+W115)*(X114-W114)/2</f>
        <v>0</v>
      </c>
      <c r="X116" s="375">
        <f>(Y115+X115)*(Y114-X114)/2</f>
        <v>0</v>
      </c>
      <c r="Y116" s="369"/>
    </row>
    <row r="117" spans="1:26" ht="13" thickBot="1" x14ac:dyDescent="0.3"/>
    <row r="118" spans="1:26" ht="13.5" thickBot="1" x14ac:dyDescent="0.35">
      <c r="A118" s="361" t="s">
        <v>324</v>
      </c>
      <c r="B118" s="359">
        <f>ROW(A118)</f>
        <v>118</v>
      </c>
      <c r="C118" s="363" t="s">
        <v>118</v>
      </c>
      <c r="D118" s="353">
        <f>SUM(B121:Y121)</f>
        <v>26.083982500000001</v>
      </c>
      <c r="E118" s="363" t="s">
        <v>117</v>
      </c>
      <c r="F118" s="354">
        <f>D118/g/J118</f>
        <v>166.18235537716615</v>
      </c>
      <c r="G118" s="363" t="s">
        <v>59</v>
      </c>
      <c r="H118" s="64">
        <v>5.1999999999999998E-2</v>
      </c>
      <c r="I118" s="363" t="s">
        <v>274</v>
      </c>
      <c r="J118" s="355">
        <f>H118-L118</f>
        <v>1.6E-2</v>
      </c>
      <c r="K118" s="363" t="s">
        <v>275</v>
      </c>
      <c r="L118" s="64">
        <v>3.5999999999999997E-2</v>
      </c>
      <c r="M118" s="363" t="s">
        <v>60</v>
      </c>
      <c r="N118" s="396">
        <v>35</v>
      </c>
      <c r="O118" s="363" t="s">
        <v>62</v>
      </c>
      <c r="P118" s="396">
        <v>35</v>
      </c>
      <c r="Q118" s="363" t="s">
        <v>63</v>
      </c>
      <c r="R118" s="65">
        <v>69</v>
      </c>
      <c r="S118" s="363" t="s">
        <v>64</v>
      </c>
      <c r="T118" s="65">
        <v>24</v>
      </c>
      <c r="U118" s="363" t="s">
        <v>57</v>
      </c>
      <c r="V118" s="66" t="s">
        <v>403</v>
      </c>
      <c r="W118" s="463" t="s">
        <v>398</v>
      </c>
      <c r="X118" s="465">
        <v>0.85</v>
      </c>
      <c r="Y118" s="463" t="s">
        <v>397</v>
      </c>
      <c r="Z118" s="358">
        <v>15</v>
      </c>
    </row>
    <row r="119" spans="1:26" x14ac:dyDescent="0.25">
      <c r="A119" s="362" t="s">
        <v>33</v>
      </c>
      <c r="B119" s="370">
        <v>0</v>
      </c>
      <c r="C119" s="371">
        <v>0.02</v>
      </c>
      <c r="D119" s="371">
        <v>2.7E-2</v>
      </c>
      <c r="E119" s="371">
        <v>4.9000000000000002E-2</v>
      </c>
      <c r="F119" s="371">
        <v>0.113</v>
      </c>
      <c r="G119" s="371">
        <v>0.193</v>
      </c>
      <c r="H119" s="371">
        <v>0.28199999999999997</v>
      </c>
      <c r="I119" s="371">
        <v>0.5</v>
      </c>
      <c r="J119" s="371">
        <v>0.72699999999999998</v>
      </c>
      <c r="K119" s="371">
        <v>0.77100000000000002</v>
      </c>
      <c r="L119" s="371">
        <v>0.80700000000000005</v>
      </c>
      <c r="M119" s="371">
        <v>0.84</v>
      </c>
      <c r="N119" s="371">
        <v>0.87</v>
      </c>
      <c r="O119" s="371">
        <v>1</v>
      </c>
      <c r="P119" s="371">
        <v>1</v>
      </c>
      <c r="Q119" s="371">
        <v>1</v>
      </c>
      <c r="R119" s="371">
        <v>1</v>
      </c>
      <c r="S119" s="371">
        <v>1</v>
      </c>
      <c r="T119" s="371">
        <v>1</v>
      </c>
      <c r="U119" s="371">
        <v>1</v>
      </c>
      <c r="V119" s="371">
        <v>1</v>
      </c>
      <c r="W119" s="371">
        <v>1</v>
      </c>
      <c r="X119" s="371">
        <v>2</v>
      </c>
      <c r="Y119" s="381">
        <v>1000</v>
      </c>
    </row>
    <row r="120" spans="1:26" x14ac:dyDescent="0.25">
      <c r="A120" s="378" t="s">
        <v>34</v>
      </c>
      <c r="B120" s="372">
        <v>0</v>
      </c>
      <c r="C120" s="373">
        <v>43.823999999999998</v>
      </c>
      <c r="D120" s="373">
        <v>39.963999999999999</v>
      </c>
      <c r="E120" s="373">
        <v>26.780999999999999</v>
      </c>
      <c r="F120" s="373">
        <v>32.600999999999999</v>
      </c>
      <c r="G120" s="373">
        <v>34.738999999999997</v>
      </c>
      <c r="H120" s="373">
        <v>35.808</v>
      </c>
      <c r="I120" s="373">
        <v>34.442</v>
      </c>
      <c r="J120" s="373">
        <v>29.276</v>
      </c>
      <c r="K120" s="373">
        <v>22.742999999999999</v>
      </c>
      <c r="L120" s="373">
        <v>9.5609999999999999</v>
      </c>
      <c r="M120" s="373">
        <v>3.5630000000000002</v>
      </c>
      <c r="N120" s="373">
        <v>0</v>
      </c>
      <c r="O120" s="373">
        <v>0</v>
      </c>
      <c r="P120" s="373">
        <v>0</v>
      </c>
      <c r="Q120" s="373">
        <v>0</v>
      </c>
      <c r="R120" s="373">
        <v>0</v>
      </c>
      <c r="S120" s="373">
        <v>0</v>
      </c>
      <c r="T120" s="373">
        <f>S120</f>
        <v>0</v>
      </c>
      <c r="U120" s="373">
        <f>T120</f>
        <v>0</v>
      </c>
      <c r="V120" s="373">
        <f>U120</f>
        <v>0</v>
      </c>
      <c r="W120" s="373">
        <f>V120</f>
        <v>0</v>
      </c>
      <c r="X120" s="373">
        <f>W120</f>
        <v>0</v>
      </c>
      <c r="Y120" s="382">
        <v>0</v>
      </c>
    </row>
    <row r="121" spans="1:26" ht="13" thickBot="1" x14ac:dyDescent="0.3">
      <c r="A121" s="379" t="s">
        <v>119</v>
      </c>
      <c r="B121" s="374">
        <f t="shared" ref="B121:V121" si="27">(C120+B120)*(C119-B119)/2</f>
        <v>0.43823999999999996</v>
      </c>
      <c r="C121" s="375">
        <f t="shared" si="27"/>
        <v>0.29325799999999996</v>
      </c>
      <c r="D121" s="375">
        <f t="shared" si="27"/>
        <v>0.73419500000000015</v>
      </c>
      <c r="E121" s="375">
        <f t="shared" si="27"/>
        <v>1.9002239999999999</v>
      </c>
      <c r="F121" s="375">
        <f t="shared" si="27"/>
        <v>2.6936</v>
      </c>
      <c r="G121" s="375">
        <f t="shared" si="27"/>
        <v>3.1393414999999987</v>
      </c>
      <c r="H121" s="375">
        <f t="shared" si="27"/>
        <v>7.6572500000000012</v>
      </c>
      <c r="I121" s="375">
        <f t="shared" si="27"/>
        <v>7.2319930000000001</v>
      </c>
      <c r="J121" s="375">
        <f>(K120+J120)*(K119-J119)/2</f>
        <v>1.144418000000001</v>
      </c>
      <c r="K121" s="375">
        <f t="shared" si="27"/>
        <v>0.58147200000000054</v>
      </c>
      <c r="L121" s="375">
        <f t="shared" si="27"/>
        <v>0.21654599999999946</v>
      </c>
      <c r="M121" s="375">
        <f t="shared" si="27"/>
        <v>5.3445000000000048E-2</v>
      </c>
      <c r="N121" s="375">
        <f t="shared" si="27"/>
        <v>0</v>
      </c>
      <c r="O121" s="375">
        <f t="shared" si="27"/>
        <v>0</v>
      </c>
      <c r="P121" s="375">
        <f t="shared" si="27"/>
        <v>0</v>
      </c>
      <c r="Q121" s="375">
        <f t="shared" si="27"/>
        <v>0</v>
      </c>
      <c r="R121" s="375">
        <f t="shared" si="27"/>
        <v>0</v>
      </c>
      <c r="S121" s="375">
        <f>(T120+S120)*(T119-S119)/2</f>
        <v>0</v>
      </c>
      <c r="T121" s="375">
        <f t="shared" si="27"/>
        <v>0</v>
      </c>
      <c r="U121" s="375">
        <f t="shared" si="27"/>
        <v>0</v>
      </c>
      <c r="V121" s="375">
        <f t="shared" si="27"/>
        <v>0</v>
      </c>
      <c r="W121" s="375">
        <f>(X120+W120)*(X119-W119)/2</f>
        <v>0</v>
      </c>
      <c r="X121" s="375">
        <f>(Y120+X120)*(Y119-X119)/2</f>
        <v>0</v>
      </c>
      <c r="Y121" s="369"/>
    </row>
    <row r="122" spans="1:26" ht="13.5" thickBot="1" x14ac:dyDescent="0.35">
      <c r="A122" s="6" t="s">
        <v>393</v>
      </c>
    </row>
    <row r="123" spans="1:26" ht="13.5" thickBot="1" x14ac:dyDescent="0.35">
      <c r="A123" s="361" t="s">
        <v>394</v>
      </c>
      <c r="B123" s="359">
        <f>ROW(A123)</f>
        <v>123</v>
      </c>
      <c r="C123" s="363" t="s">
        <v>118</v>
      </c>
      <c r="D123" s="353">
        <f>SUM(B126:Y126)</f>
        <v>49.788765499999997</v>
      </c>
      <c r="E123" s="363" t="s">
        <v>117</v>
      </c>
      <c r="F123" s="354">
        <v>231</v>
      </c>
      <c r="G123" s="363" t="s">
        <v>59</v>
      </c>
      <c r="H123" s="64">
        <v>7.2999999999999995E-2</v>
      </c>
      <c r="I123" s="363" t="s">
        <v>274</v>
      </c>
      <c r="J123" s="355">
        <f>H123-L123</f>
        <v>2.7999999999999997E-2</v>
      </c>
      <c r="K123" s="363" t="s">
        <v>275</v>
      </c>
      <c r="L123" s="64">
        <v>4.4999999999999998E-2</v>
      </c>
      <c r="M123" s="363" t="s">
        <v>60</v>
      </c>
      <c r="N123" s="396">
        <v>50</v>
      </c>
      <c r="O123" s="363" t="s">
        <v>62</v>
      </c>
      <c r="P123" s="396">
        <v>50</v>
      </c>
      <c r="Q123" s="363" t="s">
        <v>63</v>
      </c>
      <c r="R123" s="65">
        <v>101</v>
      </c>
      <c r="S123" s="363" t="s">
        <v>64</v>
      </c>
      <c r="T123" s="65">
        <v>24</v>
      </c>
      <c r="U123" s="363" t="s">
        <v>57</v>
      </c>
      <c r="V123" s="66" t="s">
        <v>122</v>
      </c>
      <c r="W123" s="463" t="s">
        <v>398</v>
      </c>
      <c r="X123" s="465">
        <v>1</v>
      </c>
      <c r="Y123" s="463" t="s">
        <v>397</v>
      </c>
      <c r="Z123" s="358">
        <v>13</v>
      </c>
    </row>
    <row r="124" spans="1:26" x14ac:dyDescent="0.25">
      <c r="A124" s="362" t="s">
        <v>33</v>
      </c>
      <c r="B124" s="471">
        <v>0</v>
      </c>
      <c r="C124" s="471">
        <v>1E-3</v>
      </c>
      <c r="D124" s="471">
        <v>2.7E-2</v>
      </c>
      <c r="E124" s="471">
        <v>5.0999999999999997E-2</v>
      </c>
      <c r="F124" s="471">
        <v>0.06</v>
      </c>
      <c r="G124" s="471">
        <v>9.1999999999999998E-2</v>
      </c>
      <c r="H124" s="471">
        <v>0.11899999999999999</v>
      </c>
      <c r="I124" s="471">
        <v>0.17</v>
      </c>
      <c r="J124" s="471">
        <v>0.3</v>
      </c>
      <c r="K124" s="471">
        <v>0.46200000000000002</v>
      </c>
      <c r="L124" s="471">
        <v>0.56899999999999995</v>
      </c>
      <c r="M124" s="471">
        <v>0.67500000000000004</v>
      </c>
      <c r="N124" s="471">
        <v>0.77800000000000002</v>
      </c>
      <c r="O124" s="471">
        <v>0.84599999999999997</v>
      </c>
      <c r="P124" s="471">
        <v>0.91700000000000004</v>
      </c>
      <c r="Q124" s="471">
        <v>1.0089999999999999</v>
      </c>
      <c r="R124" s="471">
        <v>1.032</v>
      </c>
      <c r="S124" s="471">
        <v>1.0449999999999999</v>
      </c>
      <c r="T124" s="371">
        <v>2</v>
      </c>
      <c r="U124" s="371">
        <v>2</v>
      </c>
      <c r="V124" s="371">
        <v>2</v>
      </c>
      <c r="W124" s="371">
        <v>2</v>
      </c>
      <c r="X124" s="371">
        <v>2</v>
      </c>
      <c r="Y124" s="381">
        <v>1000</v>
      </c>
    </row>
    <row r="125" spans="1:26" x14ac:dyDescent="0.25">
      <c r="A125" s="378" t="s">
        <v>34</v>
      </c>
      <c r="B125" s="471">
        <v>0</v>
      </c>
      <c r="C125" s="471">
        <v>5.1449999999999996</v>
      </c>
      <c r="D125" s="471">
        <v>67.975999999999999</v>
      </c>
      <c r="E125" s="471">
        <v>53.807000000000002</v>
      </c>
      <c r="F125" s="471">
        <v>52.88</v>
      </c>
      <c r="G125" s="471">
        <v>55.915999999999997</v>
      </c>
      <c r="H125" s="471">
        <v>57.94</v>
      </c>
      <c r="I125" s="471">
        <v>59.710999999999999</v>
      </c>
      <c r="J125" s="471">
        <v>61.145000000000003</v>
      </c>
      <c r="K125" s="471">
        <v>58.951999999999998</v>
      </c>
      <c r="L125" s="471">
        <v>55.578000000000003</v>
      </c>
      <c r="M125" s="471">
        <v>52.204999999999998</v>
      </c>
      <c r="N125" s="471">
        <v>46.386000000000003</v>
      </c>
      <c r="O125" s="471">
        <v>38.119999999999997</v>
      </c>
      <c r="P125" s="471">
        <v>20.324999999999999</v>
      </c>
      <c r="Q125" s="471">
        <v>3.5419999999999998</v>
      </c>
      <c r="R125" s="471">
        <v>1.6020000000000001</v>
      </c>
      <c r="S125" s="471">
        <v>0</v>
      </c>
      <c r="T125" s="373">
        <f>S125</f>
        <v>0</v>
      </c>
      <c r="U125" s="373">
        <f>T125</f>
        <v>0</v>
      </c>
      <c r="V125" s="373">
        <f>U125</f>
        <v>0</v>
      </c>
      <c r="W125" s="373">
        <f>V125</f>
        <v>0</v>
      </c>
      <c r="X125" s="373">
        <f>W125</f>
        <v>0</v>
      </c>
      <c r="Y125" s="382">
        <v>0</v>
      </c>
    </row>
    <row r="126" spans="1:26" ht="13" thickBot="1" x14ac:dyDescent="0.3">
      <c r="A126" s="379" t="s">
        <v>119</v>
      </c>
      <c r="B126" s="374">
        <f t="shared" ref="B126:X126" si="28">(C125+B125)*(C124-B124)/2</f>
        <v>2.5724999999999997E-3</v>
      </c>
      <c r="C126" s="375">
        <f t="shared" si="28"/>
        <v>0.95057299999999989</v>
      </c>
      <c r="D126" s="375">
        <f t="shared" si="28"/>
        <v>1.4613959999999999</v>
      </c>
      <c r="E126" s="375">
        <f t="shared" si="28"/>
        <v>0.48009150000000012</v>
      </c>
      <c r="F126" s="375">
        <f t="shared" si="28"/>
        <v>1.7407359999999998</v>
      </c>
      <c r="G126" s="375">
        <f t="shared" si="28"/>
        <v>1.5370559999999998</v>
      </c>
      <c r="H126" s="375">
        <f t="shared" si="28"/>
        <v>3.0001005000000007</v>
      </c>
      <c r="I126" s="375">
        <f t="shared" si="28"/>
        <v>7.8556399999999984</v>
      </c>
      <c r="J126" s="375">
        <f t="shared" si="28"/>
        <v>9.727857000000002</v>
      </c>
      <c r="K126" s="375">
        <f t="shared" si="28"/>
        <v>6.1273549999999961</v>
      </c>
      <c r="L126" s="375">
        <f t="shared" si="28"/>
        <v>5.7124990000000055</v>
      </c>
      <c r="M126" s="375">
        <f t="shared" si="28"/>
        <v>5.0774364999999992</v>
      </c>
      <c r="N126" s="375">
        <f t="shared" si="28"/>
        <v>2.8732039999999976</v>
      </c>
      <c r="O126" s="375">
        <f t="shared" si="28"/>
        <v>2.0747975000000016</v>
      </c>
      <c r="P126" s="375">
        <f t="shared" si="28"/>
        <v>1.0978819999999982</v>
      </c>
      <c r="Q126" s="375">
        <f t="shared" si="28"/>
        <v>5.915600000000034E-2</v>
      </c>
      <c r="R126" s="375">
        <f t="shared" si="28"/>
        <v>1.0412999999999921E-2</v>
      </c>
      <c r="S126" s="375">
        <f t="shared" si="28"/>
        <v>0</v>
      </c>
      <c r="T126" s="375">
        <f t="shared" si="28"/>
        <v>0</v>
      </c>
      <c r="U126" s="375">
        <f t="shared" si="28"/>
        <v>0</v>
      </c>
      <c r="V126" s="375">
        <f t="shared" si="28"/>
        <v>0</v>
      </c>
      <c r="W126" s="375">
        <f t="shared" si="28"/>
        <v>0</v>
      </c>
      <c r="X126" s="375">
        <f t="shared" si="28"/>
        <v>0</v>
      </c>
      <c r="Y126" s="369"/>
    </row>
    <row r="127" spans="1:26" ht="13" thickBot="1" x14ac:dyDescent="0.3"/>
    <row r="128" spans="1:26" ht="13.5" thickBot="1" x14ac:dyDescent="0.35">
      <c r="A128" s="361" t="s">
        <v>395</v>
      </c>
      <c r="B128" s="359">
        <f>ROW(A128)</f>
        <v>128</v>
      </c>
      <c r="C128" s="363" t="s">
        <v>118</v>
      </c>
      <c r="D128" s="353">
        <f>SUM(B131:Y131)</f>
        <v>52.815674000000008</v>
      </c>
      <c r="E128" s="363" t="s">
        <v>117</v>
      </c>
      <c r="F128" s="354">
        <v>239</v>
      </c>
      <c r="G128" s="363" t="s">
        <v>59</v>
      </c>
      <c r="H128" s="64">
        <v>7.2999999999999995E-2</v>
      </c>
      <c r="I128" s="363" t="s">
        <v>274</v>
      </c>
      <c r="J128" s="355">
        <f>H128-L128</f>
        <v>2.8999999999999998E-2</v>
      </c>
      <c r="K128" s="363" t="s">
        <v>275</v>
      </c>
      <c r="L128" s="64">
        <v>4.3999999999999997E-2</v>
      </c>
      <c r="M128" s="363" t="s">
        <v>60</v>
      </c>
      <c r="N128" s="396">
        <v>50</v>
      </c>
      <c r="O128" s="363" t="s">
        <v>62</v>
      </c>
      <c r="P128" s="396">
        <v>50</v>
      </c>
      <c r="Q128" s="363" t="s">
        <v>63</v>
      </c>
      <c r="R128" s="65">
        <v>101</v>
      </c>
      <c r="S128" s="363" t="s">
        <v>64</v>
      </c>
      <c r="T128" s="65">
        <v>24</v>
      </c>
      <c r="U128" s="363" t="s">
        <v>57</v>
      </c>
      <c r="V128" s="66" t="s">
        <v>122</v>
      </c>
      <c r="W128" s="463" t="s">
        <v>398</v>
      </c>
      <c r="X128" s="465">
        <v>0.77</v>
      </c>
      <c r="Y128" s="463" t="s">
        <v>397</v>
      </c>
      <c r="Z128" s="358">
        <v>14</v>
      </c>
    </row>
    <row r="129" spans="1:26" x14ac:dyDescent="0.25">
      <c r="A129" s="362" t="s">
        <v>33</v>
      </c>
      <c r="B129" s="471">
        <v>0</v>
      </c>
      <c r="C129" s="471">
        <v>1E-3</v>
      </c>
      <c r="D129" s="471">
        <v>1.2999999999999999E-2</v>
      </c>
      <c r="E129" s="471">
        <v>2.3E-2</v>
      </c>
      <c r="F129" s="471">
        <v>5.1999999999999998E-2</v>
      </c>
      <c r="G129" s="471">
        <v>0.1</v>
      </c>
      <c r="H129" s="471">
        <v>0.379</v>
      </c>
      <c r="I129" s="471">
        <v>0.64100000000000001</v>
      </c>
      <c r="J129" s="471">
        <v>0.66500000000000004</v>
      </c>
      <c r="K129" s="471">
        <v>0.70599999999999996</v>
      </c>
      <c r="L129" s="471">
        <v>0.74399999999999999</v>
      </c>
      <c r="M129" s="471">
        <v>0.78700000000000003</v>
      </c>
      <c r="N129" s="471">
        <v>0.81599999999999995</v>
      </c>
      <c r="O129" s="371">
        <v>1</v>
      </c>
      <c r="P129" s="371">
        <v>1</v>
      </c>
      <c r="Q129" s="371">
        <v>1</v>
      </c>
      <c r="R129" s="371">
        <v>1</v>
      </c>
      <c r="S129" s="371">
        <v>1</v>
      </c>
      <c r="T129" s="371">
        <v>1</v>
      </c>
      <c r="U129" s="371">
        <v>1</v>
      </c>
      <c r="V129" s="371">
        <v>1</v>
      </c>
      <c r="W129" s="371">
        <v>2</v>
      </c>
      <c r="X129" s="371">
        <v>2</v>
      </c>
      <c r="Y129" s="381">
        <v>1000</v>
      </c>
    </row>
    <row r="130" spans="1:26" x14ac:dyDescent="0.25">
      <c r="A130" s="378" t="s">
        <v>34</v>
      </c>
      <c r="B130" s="471">
        <v>0</v>
      </c>
      <c r="C130" s="471">
        <v>8.3030000000000008</v>
      </c>
      <c r="D130" s="471">
        <v>85.68</v>
      </c>
      <c r="E130" s="471">
        <v>96.149000000000001</v>
      </c>
      <c r="F130" s="471">
        <v>78.820999999999998</v>
      </c>
      <c r="G130" s="471">
        <v>83.634</v>
      </c>
      <c r="H130" s="471">
        <v>77.858000000000004</v>
      </c>
      <c r="I130" s="471">
        <v>62.575000000000003</v>
      </c>
      <c r="J130" s="471">
        <v>55.716000000000001</v>
      </c>
      <c r="K130" s="471">
        <v>23.946999999999999</v>
      </c>
      <c r="L130" s="471">
        <v>9.1460000000000008</v>
      </c>
      <c r="M130" s="471">
        <v>2.7679999999999998</v>
      </c>
      <c r="N130" s="471">
        <v>0</v>
      </c>
      <c r="O130" s="373">
        <v>0</v>
      </c>
      <c r="P130" s="373">
        <v>0</v>
      </c>
      <c r="Q130" s="373">
        <v>0</v>
      </c>
      <c r="R130" s="373">
        <v>0</v>
      </c>
      <c r="S130" s="373">
        <v>0</v>
      </c>
      <c r="T130" s="373">
        <v>0</v>
      </c>
      <c r="U130" s="373">
        <v>0</v>
      </c>
      <c r="V130" s="373">
        <f>U130</f>
        <v>0</v>
      </c>
      <c r="W130" s="373">
        <f>V130</f>
        <v>0</v>
      </c>
      <c r="X130" s="373">
        <f>W130</f>
        <v>0</v>
      </c>
      <c r="Y130" s="382">
        <v>0</v>
      </c>
    </row>
    <row r="131" spans="1:26" ht="13" thickBot="1" x14ac:dyDescent="0.3">
      <c r="A131" s="379" t="s">
        <v>119</v>
      </c>
      <c r="B131" s="374">
        <f t="shared" ref="B131:X131" si="29">(C130+B130)*(C129-B129)/2</f>
        <v>4.1515000000000007E-3</v>
      </c>
      <c r="C131" s="375">
        <f t="shared" si="29"/>
        <v>0.56389800000000001</v>
      </c>
      <c r="D131" s="375">
        <f t="shared" si="29"/>
        <v>0.90914500000000009</v>
      </c>
      <c r="E131" s="375">
        <f t="shared" si="29"/>
        <v>2.5370649999999997</v>
      </c>
      <c r="F131" s="375">
        <f t="shared" si="29"/>
        <v>3.8989200000000004</v>
      </c>
      <c r="G131" s="375">
        <f t="shared" si="29"/>
        <v>22.528134000000005</v>
      </c>
      <c r="H131" s="375">
        <f t="shared" si="29"/>
        <v>18.396723000000001</v>
      </c>
      <c r="I131" s="375">
        <f t="shared" si="29"/>
        <v>1.4194920000000013</v>
      </c>
      <c r="J131" s="375">
        <f t="shared" si="29"/>
        <v>1.633091499999997</v>
      </c>
      <c r="K131" s="375">
        <f t="shared" si="29"/>
        <v>0.62876700000000063</v>
      </c>
      <c r="L131" s="375">
        <f t="shared" si="29"/>
        <v>0.25615100000000024</v>
      </c>
      <c r="M131" s="375">
        <f t="shared" si="29"/>
        <v>4.013599999999988E-2</v>
      </c>
      <c r="N131" s="375">
        <f t="shared" si="29"/>
        <v>0</v>
      </c>
      <c r="O131" s="375">
        <f t="shared" si="29"/>
        <v>0</v>
      </c>
      <c r="P131" s="375">
        <f t="shared" si="29"/>
        <v>0</v>
      </c>
      <c r="Q131" s="375">
        <f t="shared" si="29"/>
        <v>0</v>
      </c>
      <c r="R131" s="375">
        <f t="shared" si="29"/>
        <v>0</v>
      </c>
      <c r="S131" s="375">
        <f t="shared" si="29"/>
        <v>0</v>
      </c>
      <c r="T131" s="375">
        <f t="shared" si="29"/>
        <v>0</v>
      </c>
      <c r="U131" s="375">
        <f t="shared" si="29"/>
        <v>0</v>
      </c>
      <c r="V131" s="375">
        <f t="shared" si="29"/>
        <v>0</v>
      </c>
      <c r="W131" s="375">
        <f t="shared" si="29"/>
        <v>0</v>
      </c>
      <c r="X131" s="375">
        <f t="shared" si="29"/>
        <v>0</v>
      </c>
      <c r="Y131" s="369"/>
    </row>
    <row r="132" spans="1:26" ht="13.5" thickBot="1" x14ac:dyDescent="0.35">
      <c r="A132" s="6" t="s">
        <v>317</v>
      </c>
    </row>
    <row r="133" spans="1:26" ht="13.5" thickBot="1" x14ac:dyDescent="0.35">
      <c r="A133" s="361" t="s">
        <v>385</v>
      </c>
      <c r="B133" s="359">
        <f>ROW(A133)</f>
        <v>133</v>
      </c>
      <c r="C133" s="363" t="s">
        <v>118</v>
      </c>
      <c r="D133" s="353">
        <f>SUM(B136:Y136)</f>
        <v>41.835000000000015</v>
      </c>
      <c r="E133" s="363" t="s">
        <v>117</v>
      </c>
      <c r="F133" s="354">
        <f>D133/g/J133</f>
        <v>121.84359982525126</v>
      </c>
      <c r="G133" s="363" t="s">
        <v>59</v>
      </c>
      <c r="H133" s="64">
        <v>0.104</v>
      </c>
      <c r="I133" s="363" t="s">
        <v>274</v>
      </c>
      <c r="J133" s="355">
        <f>H133-L133</f>
        <v>3.4999999999999989E-2</v>
      </c>
      <c r="K133" s="363" t="s">
        <v>275</v>
      </c>
      <c r="L133" s="64">
        <v>6.9000000000000006E-2</v>
      </c>
      <c r="M133" s="363" t="s">
        <v>60</v>
      </c>
      <c r="N133" s="65">
        <v>49</v>
      </c>
      <c r="O133" s="363" t="s">
        <v>62</v>
      </c>
      <c r="P133" s="65">
        <v>49</v>
      </c>
      <c r="Q133" s="363" t="s">
        <v>63</v>
      </c>
      <c r="R133" s="65">
        <v>98</v>
      </c>
      <c r="S133" s="363" t="s">
        <v>64</v>
      </c>
      <c r="T133" s="65">
        <v>29</v>
      </c>
      <c r="U133" s="363" t="s">
        <v>57</v>
      </c>
      <c r="V133" s="66" t="s">
        <v>403</v>
      </c>
      <c r="W133" s="463" t="s">
        <v>398</v>
      </c>
      <c r="X133" s="465">
        <v>1.07</v>
      </c>
      <c r="Y133" s="463" t="s">
        <v>397</v>
      </c>
      <c r="Z133" s="358">
        <v>11</v>
      </c>
    </row>
    <row r="134" spans="1:26" x14ac:dyDescent="0.25">
      <c r="A134" s="362" t="s">
        <v>33</v>
      </c>
      <c r="B134" s="370">
        <v>0</v>
      </c>
      <c r="C134" s="371">
        <v>0.01</v>
      </c>
      <c r="D134" s="371">
        <v>0.02</v>
      </c>
      <c r="E134" s="371">
        <v>0.03</v>
      </c>
      <c r="F134" s="371">
        <v>0.04</v>
      </c>
      <c r="G134" s="371">
        <v>0.06</v>
      </c>
      <c r="H134" s="371">
        <v>7.0000000000000007E-2</v>
      </c>
      <c r="I134" s="371">
        <v>0.08</v>
      </c>
      <c r="J134" s="371">
        <v>0.1</v>
      </c>
      <c r="K134" s="371">
        <v>0.2</v>
      </c>
      <c r="L134" s="371">
        <v>0.3</v>
      </c>
      <c r="M134" s="371">
        <v>0.4</v>
      </c>
      <c r="N134" s="371">
        <v>0.5</v>
      </c>
      <c r="O134" s="371">
        <v>0.6</v>
      </c>
      <c r="P134" s="371">
        <v>0.7</v>
      </c>
      <c r="Q134" s="371">
        <v>0.8</v>
      </c>
      <c r="R134" s="371">
        <v>0.85</v>
      </c>
      <c r="S134" s="371">
        <v>0.92</v>
      </c>
      <c r="T134" s="371">
        <v>0.95</v>
      </c>
      <c r="U134" s="371">
        <v>0.99</v>
      </c>
      <c r="V134" s="371">
        <v>1.05</v>
      </c>
      <c r="W134" s="371">
        <v>1.05</v>
      </c>
      <c r="X134" s="371">
        <v>2</v>
      </c>
      <c r="Y134" s="381">
        <v>1000</v>
      </c>
    </row>
    <row r="135" spans="1:26" x14ac:dyDescent="0.25">
      <c r="A135" s="378" t="s">
        <v>34</v>
      </c>
      <c r="B135" s="372">
        <v>0</v>
      </c>
      <c r="C135" s="373">
        <v>12</v>
      </c>
      <c r="D135" s="373">
        <v>46</v>
      </c>
      <c r="E135" s="373">
        <v>75</v>
      </c>
      <c r="F135" s="373">
        <v>79</v>
      </c>
      <c r="G135" s="373">
        <v>77</v>
      </c>
      <c r="H135" s="373">
        <v>62</v>
      </c>
      <c r="I135" s="373">
        <v>32</v>
      </c>
      <c r="J135" s="373">
        <v>35</v>
      </c>
      <c r="K135" s="373">
        <v>38</v>
      </c>
      <c r="L135" s="373">
        <v>39</v>
      </c>
      <c r="M135" s="373">
        <v>41</v>
      </c>
      <c r="N135" s="373">
        <v>43</v>
      </c>
      <c r="O135" s="373">
        <v>43</v>
      </c>
      <c r="P135" s="373">
        <v>43</v>
      </c>
      <c r="Q135" s="373">
        <v>43</v>
      </c>
      <c r="R135" s="373">
        <v>47</v>
      </c>
      <c r="S135" s="373">
        <v>54</v>
      </c>
      <c r="T135" s="373">
        <v>32</v>
      </c>
      <c r="U135" s="373">
        <v>8</v>
      </c>
      <c r="V135" s="373">
        <v>0</v>
      </c>
      <c r="W135" s="373">
        <v>0</v>
      </c>
      <c r="X135" s="373">
        <v>0</v>
      </c>
      <c r="Y135" s="382">
        <v>0</v>
      </c>
    </row>
    <row r="136" spans="1:26" ht="13" thickBot="1" x14ac:dyDescent="0.3">
      <c r="A136" s="379" t="s">
        <v>119</v>
      </c>
      <c r="B136" s="374">
        <f t="shared" ref="B136:X136" si="30">(C135+B135)*(C134-B134)/2</f>
        <v>0.06</v>
      </c>
      <c r="C136" s="375">
        <f t="shared" si="30"/>
        <v>0.28999999999999998</v>
      </c>
      <c r="D136" s="375">
        <f t="shared" si="30"/>
        <v>0.60499999999999987</v>
      </c>
      <c r="E136" s="375">
        <f t="shared" si="30"/>
        <v>0.77000000000000013</v>
      </c>
      <c r="F136" s="375">
        <f t="shared" si="30"/>
        <v>1.5599999999999998</v>
      </c>
      <c r="G136" s="375">
        <f t="shared" si="30"/>
        <v>0.69500000000000062</v>
      </c>
      <c r="H136" s="375">
        <f t="shared" si="30"/>
        <v>0.46999999999999975</v>
      </c>
      <c r="I136" s="375">
        <f t="shared" si="30"/>
        <v>0.67000000000000015</v>
      </c>
      <c r="J136" s="375">
        <f t="shared" si="30"/>
        <v>3.6500000000000004</v>
      </c>
      <c r="K136" s="375">
        <f t="shared" si="30"/>
        <v>3.8499999999999992</v>
      </c>
      <c r="L136" s="375">
        <f t="shared" si="30"/>
        <v>4.0000000000000018</v>
      </c>
      <c r="M136" s="375">
        <f t="shared" si="30"/>
        <v>4.1999999999999993</v>
      </c>
      <c r="N136" s="375">
        <f t="shared" si="30"/>
        <v>4.2999999999999989</v>
      </c>
      <c r="O136" s="375">
        <f t="shared" si="30"/>
        <v>4.2999999999999989</v>
      </c>
      <c r="P136" s="375">
        <f t="shared" si="30"/>
        <v>4.3000000000000043</v>
      </c>
      <c r="Q136" s="375">
        <f t="shared" si="30"/>
        <v>2.2499999999999969</v>
      </c>
      <c r="R136" s="375">
        <f t="shared" si="30"/>
        <v>3.5350000000000033</v>
      </c>
      <c r="S136" s="375">
        <f t="shared" si="30"/>
        <v>1.2899999999999965</v>
      </c>
      <c r="T136" s="375">
        <f t="shared" si="30"/>
        <v>0.80000000000000071</v>
      </c>
      <c r="U136" s="375">
        <f t="shared" si="30"/>
        <v>0.24000000000000021</v>
      </c>
      <c r="V136" s="375">
        <f t="shared" si="30"/>
        <v>0</v>
      </c>
      <c r="W136" s="375">
        <f t="shared" si="30"/>
        <v>0</v>
      </c>
      <c r="X136" s="375">
        <f t="shared" si="30"/>
        <v>0</v>
      </c>
      <c r="Y136" s="369"/>
    </row>
    <row r="137" spans="1:26" ht="13" thickBot="1" x14ac:dyDescent="0.3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</row>
    <row r="138" spans="1:26" ht="13.5" thickBot="1" x14ac:dyDescent="0.35">
      <c r="A138" s="361" t="s">
        <v>386</v>
      </c>
      <c r="B138" s="359">
        <f>ROW(A138)</f>
        <v>138</v>
      </c>
      <c r="C138" s="363" t="s">
        <v>118</v>
      </c>
      <c r="D138" s="353">
        <f>SUM(B141:Y141)</f>
        <v>52.564999999999998</v>
      </c>
      <c r="E138" s="363" t="s">
        <v>117</v>
      </c>
      <c r="F138" s="354">
        <f>D138/g/J138</f>
        <v>167.44712028542301</v>
      </c>
      <c r="G138" s="363" t="s">
        <v>59</v>
      </c>
      <c r="H138" s="64">
        <v>0.10100000000000001</v>
      </c>
      <c r="I138" s="363" t="s">
        <v>274</v>
      </c>
      <c r="J138" s="355">
        <f>H138-L138</f>
        <v>3.2000000000000001E-2</v>
      </c>
      <c r="K138" s="363" t="s">
        <v>275</v>
      </c>
      <c r="L138" s="64">
        <v>6.9000000000000006E-2</v>
      </c>
      <c r="M138" s="363" t="s">
        <v>60</v>
      </c>
      <c r="N138" s="65">
        <v>49</v>
      </c>
      <c r="O138" s="363" t="s">
        <v>62</v>
      </c>
      <c r="P138" s="65">
        <v>49</v>
      </c>
      <c r="Q138" s="363" t="s">
        <v>63</v>
      </c>
      <c r="R138" s="65">
        <v>98</v>
      </c>
      <c r="S138" s="363" t="s">
        <v>64</v>
      </c>
      <c r="T138" s="65">
        <v>29</v>
      </c>
      <c r="U138" s="363" t="s">
        <v>57</v>
      </c>
      <c r="V138" s="66" t="s">
        <v>403</v>
      </c>
      <c r="W138" s="463" t="s">
        <v>398</v>
      </c>
      <c r="X138" s="465">
        <v>1.8</v>
      </c>
      <c r="Y138" s="463" t="s">
        <v>397</v>
      </c>
      <c r="Z138" s="358">
        <v>12</v>
      </c>
    </row>
    <row r="139" spans="1:26" x14ac:dyDescent="0.25">
      <c r="A139" s="362" t="s">
        <v>33</v>
      </c>
      <c r="B139" s="370">
        <v>0</v>
      </c>
      <c r="C139" s="371">
        <v>0.01</v>
      </c>
      <c r="D139" s="371">
        <v>0.03</v>
      </c>
      <c r="E139" s="371">
        <v>0.04</v>
      </c>
      <c r="F139" s="371">
        <v>0.05</v>
      </c>
      <c r="G139" s="371">
        <v>0.06</v>
      </c>
      <c r="H139" s="371">
        <v>7.0000000000000007E-2</v>
      </c>
      <c r="I139" s="371">
        <v>0.08</v>
      </c>
      <c r="J139" s="371">
        <v>0.09</v>
      </c>
      <c r="K139" s="371">
        <v>0.1</v>
      </c>
      <c r="L139" s="371">
        <v>0.2</v>
      </c>
      <c r="M139" s="371">
        <v>0.3</v>
      </c>
      <c r="N139" s="371">
        <v>0.4</v>
      </c>
      <c r="O139" s="371">
        <v>0.5</v>
      </c>
      <c r="P139" s="371">
        <v>0.7</v>
      </c>
      <c r="Q139" s="371">
        <v>0.8</v>
      </c>
      <c r="R139" s="371">
        <v>0.9</v>
      </c>
      <c r="S139" s="371">
        <v>1</v>
      </c>
      <c r="T139" s="371">
        <v>1.1000000000000001</v>
      </c>
      <c r="U139" s="371">
        <v>1.24</v>
      </c>
      <c r="V139" s="371">
        <v>1.3</v>
      </c>
      <c r="W139" s="371">
        <v>1.5</v>
      </c>
      <c r="X139" s="371">
        <v>2</v>
      </c>
      <c r="Y139" s="381">
        <v>1000</v>
      </c>
    </row>
    <row r="140" spans="1:26" x14ac:dyDescent="0.25">
      <c r="A140" s="378" t="s">
        <v>34</v>
      </c>
      <c r="B140" s="372">
        <v>0</v>
      </c>
      <c r="C140" s="373">
        <v>12</v>
      </c>
      <c r="D140" s="373">
        <v>41</v>
      </c>
      <c r="E140" s="373">
        <v>42</v>
      </c>
      <c r="F140" s="373">
        <v>42</v>
      </c>
      <c r="G140" s="373">
        <v>40</v>
      </c>
      <c r="H140" s="373">
        <v>34</v>
      </c>
      <c r="I140" s="373">
        <v>34</v>
      </c>
      <c r="J140" s="373">
        <v>35</v>
      </c>
      <c r="K140" s="373">
        <v>36</v>
      </c>
      <c r="L140" s="373">
        <v>40</v>
      </c>
      <c r="M140" s="373">
        <v>42</v>
      </c>
      <c r="N140" s="373">
        <v>43</v>
      </c>
      <c r="O140" s="373">
        <v>43</v>
      </c>
      <c r="P140" s="373">
        <v>43</v>
      </c>
      <c r="Q140" s="373">
        <v>42</v>
      </c>
      <c r="R140" s="373">
        <v>41</v>
      </c>
      <c r="S140" s="373">
        <v>40</v>
      </c>
      <c r="T140" s="373">
        <v>38</v>
      </c>
      <c r="U140" s="373">
        <v>37</v>
      </c>
      <c r="V140" s="373">
        <v>12</v>
      </c>
      <c r="W140" s="373">
        <v>0</v>
      </c>
      <c r="X140" s="373">
        <v>0</v>
      </c>
      <c r="Y140" s="382">
        <v>0</v>
      </c>
    </row>
    <row r="141" spans="1:26" ht="13" thickBot="1" x14ac:dyDescent="0.3">
      <c r="A141" s="379" t="s">
        <v>119</v>
      </c>
      <c r="B141" s="374">
        <f t="shared" ref="B141:X141" si="31">(C140+B140)*(C139-B139)/2</f>
        <v>0.06</v>
      </c>
      <c r="C141" s="375">
        <f t="shared" si="31"/>
        <v>0.52999999999999992</v>
      </c>
      <c r="D141" s="375">
        <f t="shared" si="31"/>
        <v>0.41500000000000009</v>
      </c>
      <c r="E141" s="375">
        <f t="shared" si="31"/>
        <v>0.4200000000000001</v>
      </c>
      <c r="F141" s="375">
        <f t="shared" si="31"/>
        <v>0.40999999999999981</v>
      </c>
      <c r="G141" s="375">
        <f t="shared" si="31"/>
        <v>0.37000000000000033</v>
      </c>
      <c r="H141" s="375">
        <f t="shared" si="31"/>
        <v>0.33999999999999986</v>
      </c>
      <c r="I141" s="375">
        <f t="shared" si="31"/>
        <v>0.34499999999999981</v>
      </c>
      <c r="J141" s="375">
        <f t="shared" si="31"/>
        <v>0.35500000000000032</v>
      </c>
      <c r="K141" s="375">
        <f t="shared" si="31"/>
        <v>3.8000000000000003</v>
      </c>
      <c r="L141" s="375">
        <f t="shared" si="31"/>
        <v>4.0999999999999988</v>
      </c>
      <c r="M141" s="375">
        <f t="shared" si="31"/>
        <v>4.2500000000000018</v>
      </c>
      <c r="N141" s="375">
        <f t="shared" si="31"/>
        <v>4.2999999999999989</v>
      </c>
      <c r="O141" s="375">
        <f t="shared" si="31"/>
        <v>8.5999999999999979</v>
      </c>
      <c r="P141" s="375">
        <f t="shared" si="31"/>
        <v>4.2500000000000036</v>
      </c>
      <c r="Q141" s="375">
        <f t="shared" si="31"/>
        <v>4.1499999999999995</v>
      </c>
      <c r="R141" s="375">
        <f t="shared" si="31"/>
        <v>4.0499999999999989</v>
      </c>
      <c r="S141" s="375">
        <f t="shared" si="31"/>
        <v>3.9000000000000035</v>
      </c>
      <c r="T141" s="375">
        <f t="shared" si="31"/>
        <v>5.2499999999999964</v>
      </c>
      <c r="U141" s="375">
        <f t="shared" si="31"/>
        <v>1.4700000000000013</v>
      </c>
      <c r="V141" s="375">
        <f t="shared" si="31"/>
        <v>1.1999999999999997</v>
      </c>
      <c r="W141" s="375">
        <f t="shared" si="31"/>
        <v>0</v>
      </c>
      <c r="X141" s="375">
        <f t="shared" si="31"/>
        <v>0</v>
      </c>
      <c r="Y141" s="369"/>
    </row>
    <row r="142" spans="1:26" ht="13" thickBot="1" x14ac:dyDescent="0.3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</row>
    <row r="143" spans="1:26" ht="13.5" thickBot="1" x14ac:dyDescent="0.35">
      <c r="A143" s="361" t="s">
        <v>387</v>
      </c>
      <c r="B143" s="359">
        <f>ROW(A143)</f>
        <v>143</v>
      </c>
      <c r="C143" s="363" t="s">
        <v>118</v>
      </c>
      <c r="D143" s="353">
        <f>SUM(B146:Y146)</f>
        <v>54.110016122119539</v>
      </c>
      <c r="E143" s="363" t="s">
        <v>117</v>
      </c>
      <c r="F143" s="354">
        <f>D143/g/J143</f>
        <v>146.69685764124625</v>
      </c>
      <c r="G143" s="363" t="s">
        <v>59</v>
      </c>
      <c r="H143" s="64">
        <v>0.10580000000000001</v>
      </c>
      <c r="I143" s="363" t="s">
        <v>274</v>
      </c>
      <c r="J143" s="355">
        <f>H143-L143</f>
        <v>3.7600000000000008E-2</v>
      </c>
      <c r="K143" s="363" t="s">
        <v>275</v>
      </c>
      <c r="L143" s="64">
        <v>6.8199999999999997E-2</v>
      </c>
      <c r="M143" s="363" t="s">
        <v>60</v>
      </c>
      <c r="N143" s="65">
        <v>49</v>
      </c>
      <c r="O143" s="363" t="s">
        <v>62</v>
      </c>
      <c r="P143" s="65">
        <v>49</v>
      </c>
      <c r="Q143" s="363" t="s">
        <v>63</v>
      </c>
      <c r="R143" s="65">
        <v>98</v>
      </c>
      <c r="S143" s="363" t="s">
        <v>64</v>
      </c>
      <c r="T143" s="65">
        <v>29</v>
      </c>
      <c r="U143" s="363" t="s">
        <v>57</v>
      </c>
      <c r="V143" s="66" t="s">
        <v>403</v>
      </c>
      <c r="W143" s="463" t="s">
        <v>398</v>
      </c>
      <c r="X143" s="465">
        <v>1.9</v>
      </c>
      <c r="Y143" s="463" t="s">
        <v>397</v>
      </c>
      <c r="Z143" s="358">
        <v>12</v>
      </c>
    </row>
    <row r="144" spans="1:26" x14ac:dyDescent="0.25">
      <c r="A144" s="362" t="s">
        <v>33</v>
      </c>
      <c r="B144" s="370">
        <v>0</v>
      </c>
      <c r="C144" s="371">
        <v>2.5000000000000001E-2</v>
      </c>
      <c r="D144" s="371">
        <v>0.05</v>
      </c>
      <c r="E144" s="371">
        <v>7.4999999999999997E-2</v>
      </c>
      <c r="F144" s="371">
        <v>0.1</v>
      </c>
      <c r="G144" s="371">
        <v>0.15</v>
      </c>
      <c r="H144" s="371">
        <v>0.17499999999999999</v>
      </c>
      <c r="I144" s="371">
        <v>0.2</v>
      </c>
      <c r="J144" s="371">
        <v>0.3</v>
      </c>
      <c r="K144" s="371">
        <v>0.4</v>
      </c>
      <c r="L144" s="371">
        <v>0.5</v>
      </c>
      <c r="M144" s="371">
        <v>0.6</v>
      </c>
      <c r="N144" s="371">
        <v>0.7</v>
      </c>
      <c r="O144" s="371">
        <v>0.8</v>
      </c>
      <c r="P144" s="371">
        <v>0.9</v>
      </c>
      <c r="Q144" s="371">
        <v>1.1000000000000001</v>
      </c>
      <c r="R144" s="371">
        <v>1.2</v>
      </c>
      <c r="S144" s="371">
        <v>1.6</v>
      </c>
      <c r="T144" s="371">
        <v>1.7</v>
      </c>
      <c r="U144" s="371">
        <v>1.8</v>
      </c>
      <c r="V144" s="371">
        <v>1.9</v>
      </c>
      <c r="W144" s="371">
        <v>1.9999</v>
      </c>
      <c r="X144" s="371">
        <v>2</v>
      </c>
      <c r="Y144" s="381">
        <v>1000</v>
      </c>
    </row>
    <row r="145" spans="1:26" x14ac:dyDescent="0.25">
      <c r="A145" s="378" t="s">
        <v>34</v>
      </c>
      <c r="B145" s="372">
        <v>0</v>
      </c>
      <c r="C145" s="376">
        <v>15.2574001848975</v>
      </c>
      <c r="D145" s="376">
        <v>26.377954255522496</v>
      </c>
      <c r="E145" s="376">
        <v>21.484910464447498</v>
      </c>
      <c r="F145" s="376">
        <v>24.020396792549999</v>
      </c>
      <c r="G145" s="376">
        <v>28.11276069054</v>
      </c>
      <c r="H145" s="376">
        <v>28.691029502212498</v>
      </c>
      <c r="I145" s="376">
        <v>29.180333881319996</v>
      </c>
      <c r="J145" s="376">
        <v>31.493409128009997</v>
      </c>
      <c r="K145" s="376">
        <v>32.560982318789996</v>
      </c>
      <c r="L145" s="376">
        <v>32.827875616484995</v>
      </c>
      <c r="M145" s="376">
        <v>32.649946751354996</v>
      </c>
      <c r="N145" s="376">
        <v>32.383053453659997</v>
      </c>
      <c r="O145" s="376">
        <v>32.249606804812501</v>
      </c>
      <c r="P145" s="376">
        <v>31.804784641987499</v>
      </c>
      <c r="Q145" s="376">
        <v>30.559282586077497</v>
      </c>
      <c r="R145" s="376">
        <v>30.069978206969999</v>
      </c>
      <c r="S145" s="376">
        <v>26.377954255522496</v>
      </c>
      <c r="T145" s="376">
        <v>24.865558901917499</v>
      </c>
      <c r="U145" s="376">
        <v>18.4601197572375</v>
      </c>
      <c r="V145" s="376">
        <v>7.5174945517424998</v>
      </c>
      <c r="W145" s="376">
        <v>1.3789487047575</v>
      </c>
      <c r="X145" s="373">
        <v>0</v>
      </c>
      <c r="Y145" s="382">
        <v>0</v>
      </c>
    </row>
    <row r="146" spans="1:26" ht="13" thickBot="1" x14ac:dyDescent="0.3">
      <c r="A146" s="379" t="s">
        <v>119</v>
      </c>
      <c r="B146" s="374">
        <f t="shared" ref="B146:V146" si="32">(C145+B145)*(C144-B144)/2</f>
        <v>0.19071750231121876</v>
      </c>
      <c r="C146" s="375">
        <f t="shared" si="32"/>
        <v>0.52044193050525001</v>
      </c>
      <c r="D146" s="375">
        <f t="shared" si="32"/>
        <v>0.5982858089996248</v>
      </c>
      <c r="E146" s="375">
        <f t="shared" si="32"/>
        <v>0.56881634071246889</v>
      </c>
      <c r="F146" s="375">
        <f t="shared" si="32"/>
        <v>1.3033289370772498</v>
      </c>
      <c r="G146" s="375">
        <f t="shared" si="32"/>
        <v>0.71004737740940616</v>
      </c>
      <c r="H146" s="375">
        <f t="shared" si="32"/>
        <v>0.72339204229415688</v>
      </c>
      <c r="I146" s="375">
        <f t="shared" si="32"/>
        <v>3.0336871504664993</v>
      </c>
      <c r="J146" s="375">
        <f>(K145+J145)*(K144-J144)/2</f>
        <v>3.2027195723400008</v>
      </c>
      <c r="K146" s="375">
        <f t="shared" si="32"/>
        <v>3.2694428967637483</v>
      </c>
      <c r="L146" s="375">
        <f t="shared" si="32"/>
        <v>3.2738911183919988</v>
      </c>
      <c r="M146" s="375">
        <f t="shared" si="32"/>
        <v>3.2516500102507484</v>
      </c>
      <c r="N146" s="375">
        <f t="shared" si="32"/>
        <v>3.2316330129236279</v>
      </c>
      <c r="O146" s="375">
        <f t="shared" si="32"/>
        <v>3.202719572339999</v>
      </c>
      <c r="P146" s="375">
        <f t="shared" si="32"/>
        <v>6.2364067228065014</v>
      </c>
      <c r="Q146" s="375">
        <f t="shared" si="32"/>
        <v>3.0314630396523707</v>
      </c>
      <c r="R146" s="375">
        <f t="shared" si="32"/>
        <v>11.289586492498502</v>
      </c>
      <c r="S146" s="375">
        <f>(T145+S145)*(T144-S144)/2</f>
        <v>2.5621756578719963</v>
      </c>
      <c r="T146" s="375">
        <f t="shared" si="32"/>
        <v>2.1662839329577519</v>
      </c>
      <c r="U146" s="375">
        <f t="shared" si="32"/>
        <v>1.2988807154489983</v>
      </c>
      <c r="V146" s="375">
        <f t="shared" si="32"/>
        <v>0.44437734066217544</v>
      </c>
      <c r="W146" s="375">
        <f>(X145+W145)*(X144-W144)/2</f>
        <v>6.894743523786741E-5</v>
      </c>
      <c r="X146" s="375">
        <f>(Y145+X145)*(Y144-X144)/2</f>
        <v>0</v>
      </c>
      <c r="Y146" s="369"/>
    </row>
    <row r="147" spans="1:26" ht="13" thickBot="1" x14ac:dyDescent="0.3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</row>
    <row r="148" spans="1:26" ht="13.5" thickBot="1" x14ac:dyDescent="0.35">
      <c r="A148" s="361" t="s">
        <v>388</v>
      </c>
      <c r="B148" s="359">
        <f>ROW(A148)</f>
        <v>148</v>
      </c>
      <c r="C148" s="363" t="s">
        <v>118</v>
      </c>
      <c r="D148" s="353">
        <f>SUM(B151:Y151)</f>
        <v>55.705884500000003</v>
      </c>
      <c r="E148" s="363" t="s">
        <v>117</v>
      </c>
      <c r="F148" s="354">
        <f>D148/g/J148</f>
        <v>180.84329814241278</v>
      </c>
      <c r="G148" s="363" t="s">
        <v>59</v>
      </c>
      <c r="H148" s="64">
        <v>0.1062</v>
      </c>
      <c r="I148" s="363" t="s">
        <v>274</v>
      </c>
      <c r="J148" s="355">
        <f>H148-L148</f>
        <v>3.1400000000000011E-2</v>
      </c>
      <c r="K148" s="363" t="s">
        <v>275</v>
      </c>
      <c r="L148" s="64">
        <v>7.4799999999999991E-2</v>
      </c>
      <c r="M148" s="363" t="s">
        <v>60</v>
      </c>
      <c r="N148" s="65">
        <v>49</v>
      </c>
      <c r="O148" s="363" t="s">
        <v>62</v>
      </c>
      <c r="P148" s="65">
        <v>49</v>
      </c>
      <c r="Q148" s="363" t="s">
        <v>63</v>
      </c>
      <c r="R148" s="65">
        <v>98</v>
      </c>
      <c r="S148" s="363" t="s">
        <v>64</v>
      </c>
      <c r="T148" s="65">
        <v>29</v>
      </c>
      <c r="U148" s="363" t="s">
        <v>57</v>
      </c>
      <c r="V148" s="66" t="s">
        <v>404</v>
      </c>
      <c r="W148" s="463" t="s">
        <v>398</v>
      </c>
      <c r="X148" s="465">
        <v>0.45</v>
      </c>
      <c r="Y148" s="463" t="s">
        <v>397</v>
      </c>
      <c r="Z148" s="358">
        <v>14</v>
      </c>
    </row>
    <row r="149" spans="1:26" x14ac:dyDescent="0.25">
      <c r="A149" s="362" t="s">
        <v>33</v>
      </c>
      <c r="B149" s="370">
        <v>0</v>
      </c>
      <c r="C149" s="371">
        <v>1.2999999999999999E-2</v>
      </c>
      <c r="D149" s="371">
        <v>1.7000000000000001E-2</v>
      </c>
      <c r="E149" s="371">
        <v>0.04</v>
      </c>
      <c r="F149" s="371">
        <v>0.125</v>
      </c>
      <c r="G149" s="371">
        <v>0.17899999999999999</v>
      </c>
      <c r="H149" s="371">
        <v>0.222</v>
      </c>
      <c r="I149" s="371">
        <v>0.28899999999999998</v>
      </c>
      <c r="J149" s="371">
        <v>0.35399999999999998</v>
      </c>
      <c r="K149" s="371">
        <v>0.39400000000000002</v>
      </c>
      <c r="L149" s="371">
        <v>0.40600000000000003</v>
      </c>
      <c r="M149" s="371">
        <v>0.41599999999999998</v>
      </c>
      <c r="N149" s="371">
        <v>0.42299999999999999</v>
      </c>
      <c r="O149" s="371">
        <v>0.43099999999999999</v>
      </c>
      <c r="P149" s="371">
        <v>0.44700000000000001</v>
      </c>
      <c r="Q149" s="371">
        <v>0.45300000000000001</v>
      </c>
      <c r="R149" s="371">
        <v>0.45500000000000002</v>
      </c>
      <c r="S149" s="371">
        <v>0.45500000000000002</v>
      </c>
      <c r="T149" s="371">
        <v>0.45500000000000002</v>
      </c>
      <c r="U149" s="371">
        <v>0.45500000000000002</v>
      </c>
      <c r="V149" s="371">
        <v>0.45500000000000002</v>
      </c>
      <c r="W149" s="371">
        <v>0.45500000000000002</v>
      </c>
      <c r="X149" s="371">
        <v>2</v>
      </c>
      <c r="Y149" s="381">
        <v>1000</v>
      </c>
    </row>
    <row r="150" spans="1:26" x14ac:dyDescent="0.25">
      <c r="A150" s="378" t="s">
        <v>34</v>
      </c>
      <c r="B150" s="372">
        <v>0</v>
      </c>
      <c r="C150" s="373">
        <v>79.242000000000004</v>
      </c>
      <c r="D150" s="373">
        <v>90.427000000000007</v>
      </c>
      <c r="E150" s="373">
        <v>101.422</v>
      </c>
      <c r="F150" s="373">
        <v>127.583</v>
      </c>
      <c r="G150" s="373">
        <v>136.114</v>
      </c>
      <c r="H150" s="373">
        <v>139.905</v>
      </c>
      <c r="I150" s="373">
        <v>143.50700000000001</v>
      </c>
      <c r="J150" s="373">
        <v>138.578</v>
      </c>
      <c r="K150" s="373">
        <v>125.498</v>
      </c>
      <c r="L150" s="373">
        <v>123.602</v>
      </c>
      <c r="M150" s="373">
        <v>125.11799999999999</v>
      </c>
      <c r="N150" s="373">
        <v>130.047</v>
      </c>
      <c r="O150" s="373">
        <v>120.569</v>
      </c>
      <c r="P150" s="373">
        <v>25.591999999999999</v>
      </c>
      <c r="Q150" s="373">
        <v>8.7200000000000006</v>
      </c>
      <c r="R150" s="373">
        <v>0</v>
      </c>
      <c r="S150" s="373">
        <v>0</v>
      </c>
      <c r="T150" s="373">
        <v>0</v>
      </c>
      <c r="U150" s="373">
        <v>0</v>
      </c>
      <c r="V150" s="373">
        <v>0</v>
      </c>
      <c r="W150" s="373">
        <v>0</v>
      </c>
      <c r="X150" s="373">
        <v>0</v>
      </c>
      <c r="Y150" s="382">
        <v>0</v>
      </c>
    </row>
    <row r="151" spans="1:26" ht="13" thickBot="1" x14ac:dyDescent="0.3">
      <c r="A151" s="379" t="s">
        <v>119</v>
      </c>
      <c r="B151" s="374">
        <f t="shared" ref="B151:X151" si="33">(C150+B150)*(C149-B149)/2</f>
        <v>0.515073</v>
      </c>
      <c r="C151" s="375">
        <f t="shared" si="33"/>
        <v>0.3393380000000002</v>
      </c>
      <c r="D151" s="375">
        <f t="shared" si="33"/>
        <v>2.2062634999999999</v>
      </c>
      <c r="E151" s="375">
        <f t="shared" si="33"/>
        <v>9.7327124999999981</v>
      </c>
      <c r="F151" s="375">
        <f t="shared" si="33"/>
        <v>7.1198189999999988</v>
      </c>
      <c r="G151" s="375">
        <f t="shared" si="33"/>
        <v>5.9344085000000018</v>
      </c>
      <c r="H151" s="375">
        <f t="shared" si="33"/>
        <v>9.4943019999999976</v>
      </c>
      <c r="I151" s="375">
        <f t="shared" si="33"/>
        <v>9.167762500000002</v>
      </c>
      <c r="J151" s="375">
        <f t="shared" si="33"/>
        <v>5.2815200000000049</v>
      </c>
      <c r="K151" s="375">
        <f t="shared" si="33"/>
        <v>1.4946000000000015</v>
      </c>
      <c r="L151" s="375">
        <f t="shared" si="33"/>
        <v>1.2435999999999943</v>
      </c>
      <c r="M151" s="375">
        <f t="shared" si="33"/>
        <v>0.89307750000000075</v>
      </c>
      <c r="N151" s="375">
        <f t="shared" si="33"/>
        <v>1.0024640000000009</v>
      </c>
      <c r="O151" s="375">
        <f t="shared" si="33"/>
        <v>1.169288000000001</v>
      </c>
      <c r="P151" s="375">
        <f t="shared" si="33"/>
        <v>0.10293600000000008</v>
      </c>
      <c r="Q151" s="375">
        <f t="shared" si="33"/>
        <v>8.720000000000009E-3</v>
      </c>
      <c r="R151" s="375">
        <f t="shared" si="33"/>
        <v>0</v>
      </c>
      <c r="S151" s="375">
        <f t="shared" si="33"/>
        <v>0</v>
      </c>
      <c r="T151" s="375">
        <f t="shared" si="33"/>
        <v>0</v>
      </c>
      <c r="U151" s="375">
        <f t="shared" si="33"/>
        <v>0</v>
      </c>
      <c r="V151" s="375">
        <f t="shared" si="33"/>
        <v>0</v>
      </c>
      <c r="W151" s="375">
        <f t="shared" si="33"/>
        <v>0</v>
      </c>
      <c r="X151" s="375">
        <f t="shared" si="33"/>
        <v>0</v>
      </c>
      <c r="Y151" s="369"/>
    </row>
    <row r="152" spans="1:26" ht="13" thickBot="1" x14ac:dyDescent="0.3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</row>
    <row r="153" spans="1:26" ht="13.5" thickBot="1" x14ac:dyDescent="0.35">
      <c r="A153" s="361" t="s">
        <v>389</v>
      </c>
      <c r="B153" s="359">
        <f>ROW(A153)</f>
        <v>153</v>
      </c>
      <c r="C153" s="363" t="s">
        <v>118</v>
      </c>
      <c r="D153" s="353">
        <f>SUM(B156:Y156)</f>
        <v>57.190000000000005</v>
      </c>
      <c r="E153" s="363" t="s">
        <v>117</v>
      </c>
      <c r="F153" s="354">
        <f>D153/g/J153</f>
        <v>188.05695307618953</v>
      </c>
      <c r="G153" s="363" t="s">
        <v>59</v>
      </c>
      <c r="H153" s="64">
        <v>9.9000000000000005E-2</v>
      </c>
      <c r="I153" s="363" t="s">
        <v>274</v>
      </c>
      <c r="J153" s="355">
        <f>H153-L153</f>
        <v>3.1E-2</v>
      </c>
      <c r="K153" s="363" t="s">
        <v>275</v>
      </c>
      <c r="L153" s="64">
        <v>6.8000000000000005E-2</v>
      </c>
      <c r="M153" s="363" t="s">
        <v>60</v>
      </c>
      <c r="N153" s="65">
        <v>49</v>
      </c>
      <c r="O153" s="363" t="s">
        <v>62</v>
      </c>
      <c r="P153" s="65">
        <v>49</v>
      </c>
      <c r="Q153" s="363" t="s">
        <v>63</v>
      </c>
      <c r="R153" s="65">
        <v>98</v>
      </c>
      <c r="S153" s="363" t="s">
        <v>64</v>
      </c>
      <c r="T153" s="65">
        <v>29</v>
      </c>
      <c r="U153" s="363" t="s">
        <v>57</v>
      </c>
      <c r="V153" s="66" t="s">
        <v>403</v>
      </c>
      <c r="W153" s="463" t="s">
        <v>398</v>
      </c>
      <c r="X153" s="465">
        <v>0.96</v>
      </c>
      <c r="Y153" s="463" t="s">
        <v>397</v>
      </c>
      <c r="Z153" s="358">
        <v>12</v>
      </c>
    </row>
    <row r="154" spans="1:26" x14ac:dyDescent="0.25">
      <c r="A154" s="362" t="s">
        <v>33</v>
      </c>
      <c r="B154" s="370">
        <v>0</v>
      </c>
      <c r="C154" s="371">
        <v>0.01</v>
      </c>
      <c r="D154" s="371">
        <v>0.02</v>
      </c>
      <c r="E154" s="371">
        <v>0.03</v>
      </c>
      <c r="F154" s="371">
        <v>0.04</v>
      </c>
      <c r="G154" s="371">
        <v>7.0000000000000007E-2</v>
      </c>
      <c r="H154" s="371">
        <v>0.1</v>
      </c>
      <c r="I154" s="371">
        <v>0.2</v>
      </c>
      <c r="J154" s="371">
        <v>0.3</v>
      </c>
      <c r="K154" s="371">
        <v>0.4</v>
      </c>
      <c r="L154" s="371">
        <v>0.5</v>
      </c>
      <c r="M154" s="371">
        <v>0.6</v>
      </c>
      <c r="N154" s="371">
        <v>0.7</v>
      </c>
      <c r="O154" s="371">
        <v>0.87</v>
      </c>
      <c r="P154" s="371">
        <v>0.9</v>
      </c>
      <c r="Q154" s="371">
        <v>0.97</v>
      </c>
      <c r="R154" s="371">
        <v>0.97</v>
      </c>
      <c r="S154" s="371">
        <v>0.97</v>
      </c>
      <c r="T154" s="371">
        <v>0.97</v>
      </c>
      <c r="U154" s="371">
        <v>0.97</v>
      </c>
      <c r="V154" s="371">
        <v>0.97</v>
      </c>
      <c r="W154" s="371">
        <v>0.97</v>
      </c>
      <c r="X154" s="371">
        <v>2</v>
      </c>
      <c r="Y154" s="381">
        <v>1000</v>
      </c>
    </row>
    <row r="155" spans="1:26" x14ac:dyDescent="0.25">
      <c r="A155" s="378" t="s">
        <v>34</v>
      </c>
      <c r="B155" s="372">
        <v>0</v>
      </c>
      <c r="C155" s="373">
        <v>16</v>
      </c>
      <c r="D155" s="373">
        <v>62</v>
      </c>
      <c r="E155" s="373">
        <v>67</v>
      </c>
      <c r="F155" s="373">
        <v>71</v>
      </c>
      <c r="G155" s="373">
        <v>58</v>
      </c>
      <c r="H155" s="373">
        <v>63</v>
      </c>
      <c r="I155" s="373">
        <v>67</v>
      </c>
      <c r="J155" s="373">
        <v>69</v>
      </c>
      <c r="K155" s="373">
        <v>67</v>
      </c>
      <c r="L155" s="373">
        <v>65</v>
      </c>
      <c r="M155" s="373">
        <v>63</v>
      </c>
      <c r="N155" s="373">
        <v>61</v>
      </c>
      <c r="O155" s="373">
        <v>60</v>
      </c>
      <c r="P155" s="373">
        <v>23</v>
      </c>
      <c r="Q155" s="373">
        <v>0</v>
      </c>
      <c r="R155" s="373">
        <v>0</v>
      </c>
      <c r="S155" s="373">
        <v>0</v>
      </c>
      <c r="T155" s="373">
        <v>0</v>
      </c>
      <c r="U155" s="373">
        <v>0</v>
      </c>
      <c r="V155" s="373">
        <v>0</v>
      </c>
      <c r="W155" s="373">
        <v>0</v>
      </c>
      <c r="X155" s="373">
        <v>0</v>
      </c>
      <c r="Y155" s="382">
        <v>0</v>
      </c>
    </row>
    <row r="156" spans="1:26" ht="13" thickBot="1" x14ac:dyDescent="0.3">
      <c r="A156" s="379" t="s">
        <v>119</v>
      </c>
      <c r="B156" s="374">
        <f t="shared" ref="B156:X156" si="34">(C155+B155)*(C154-B154)/2</f>
        <v>0.08</v>
      </c>
      <c r="C156" s="375">
        <f t="shared" si="34"/>
        <v>0.39</v>
      </c>
      <c r="D156" s="375">
        <f t="shared" si="34"/>
        <v>0.64499999999999991</v>
      </c>
      <c r="E156" s="375">
        <f t="shared" si="34"/>
        <v>0.69000000000000017</v>
      </c>
      <c r="F156" s="375">
        <f t="shared" si="34"/>
        <v>1.9350000000000003</v>
      </c>
      <c r="G156" s="375">
        <f t="shared" si="34"/>
        <v>1.8149999999999999</v>
      </c>
      <c r="H156" s="375">
        <f t="shared" si="34"/>
        <v>6.5</v>
      </c>
      <c r="I156" s="375">
        <f t="shared" si="34"/>
        <v>6.7999999999999989</v>
      </c>
      <c r="J156" s="375">
        <f t="shared" si="34"/>
        <v>6.8000000000000025</v>
      </c>
      <c r="K156" s="375">
        <f t="shared" si="34"/>
        <v>6.5999999999999988</v>
      </c>
      <c r="L156" s="375">
        <f t="shared" si="34"/>
        <v>6.3999999999999986</v>
      </c>
      <c r="M156" s="375">
        <f t="shared" si="34"/>
        <v>6.1999999999999984</v>
      </c>
      <c r="N156" s="375">
        <f t="shared" si="34"/>
        <v>10.285000000000002</v>
      </c>
      <c r="O156" s="375">
        <f t="shared" si="34"/>
        <v>1.245000000000001</v>
      </c>
      <c r="P156" s="375">
        <f t="shared" si="34"/>
        <v>0.80499999999999949</v>
      </c>
      <c r="Q156" s="375">
        <f t="shared" si="34"/>
        <v>0</v>
      </c>
      <c r="R156" s="375">
        <f t="shared" si="34"/>
        <v>0</v>
      </c>
      <c r="S156" s="375">
        <f t="shared" si="34"/>
        <v>0</v>
      </c>
      <c r="T156" s="375">
        <f t="shared" si="34"/>
        <v>0</v>
      </c>
      <c r="U156" s="375">
        <f t="shared" si="34"/>
        <v>0</v>
      </c>
      <c r="V156" s="375">
        <f t="shared" si="34"/>
        <v>0</v>
      </c>
      <c r="W156" s="375">
        <f t="shared" si="34"/>
        <v>0</v>
      </c>
      <c r="X156" s="375">
        <f t="shared" si="34"/>
        <v>0</v>
      </c>
      <c r="Y156" s="369"/>
    </row>
    <row r="157" spans="1:26" ht="13.5" thickBot="1" x14ac:dyDescent="0.35">
      <c r="A157" s="6" t="s">
        <v>318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spans="1:26" ht="13.5" thickBot="1" x14ac:dyDescent="0.35">
      <c r="A158" s="361" t="s">
        <v>325</v>
      </c>
      <c r="B158" s="359">
        <f>ROW(A158)</f>
        <v>158</v>
      </c>
      <c r="C158" s="363" t="s">
        <v>118</v>
      </c>
      <c r="D158" s="353">
        <f>SUM(B161:Y161)</f>
        <v>59.702267000000006</v>
      </c>
      <c r="E158" s="363" t="s">
        <v>117</v>
      </c>
      <c r="F158" s="354">
        <f>D158/g/J158</f>
        <v>190.77924771281306</v>
      </c>
      <c r="G158" s="363" t="s">
        <v>59</v>
      </c>
      <c r="H158" s="64">
        <v>9.3899999999999997E-2</v>
      </c>
      <c r="I158" s="363" t="s">
        <v>274</v>
      </c>
      <c r="J158" s="355">
        <f>H158-L158</f>
        <v>3.1899999999999998E-2</v>
      </c>
      <c r="K158" s="363" t="s">
        <v>275</v>
      </c>
      <c r="L158" s="64">
        <f>0.095-0.033</f>
        <v>6.2E-2</v>
      </c>
      <c r="M158" s="363" t="s">
        <v>60</v>
      </c>
      <c r="N158" s="396">
        <v>66.5</v>
      </c>
      <c r="O158" s="363" t="s">
        <v>62</v>
      </c>
      <c r="P158" s="396">
        <v>66.5</v>
      </c>
      <c r="Q158" s="363" t="s">
        <v>63</v>
      </c>
      <c r="R158" s="65">
        <v>133</v>
      </c>
      <c r="S158" s="363" t="s">
        <v>64</v>
      </c>
      <c r="T158" s="65">
        <v>24</v>
      </c>
      <c r="U158" s="363" t="s">
        <v>57</v>
      </c>
      <c r="V158" s="66" t="s">
        <v>403</v>
      </c>
      <c r="W158" s="463" t="s">
        <v>398</v>
      </c>
      <c r="X158" s="465">
        <v>1.2</v>
      </c>
      <c r="Y158" s="463" t="s">
        <v>397</v>
      </c>
      <c r="Z158" s="358">
        <v>13</v>
      </c>
    </row>
    <row r="159" spans="1:26" x14ac:dyDescent="0.25">
      <c r="A159" s="362" t="s">
        <v>33</v>
      </c>
      <c r="B159" s="370">
        <v>0</v>
      </c>
      <c r="C159" s="371">
        <v>1.4999999999999999E-2</v>
      </c>
      <c r="D159" s="371">
        <v>2.1999999999999999E-2</v>
      </c>
      <c r="E159" s="371">
        <v>6.4000000000000001E-2</v>
      </c>
      <c r="F159" s="371">
        <v>0.11799999999999999</v>
      </c>
      <c r="G159" s="371">
        <v>0.34200000000000003</v>
      </c>
      <c r="H159" s="371">
        <v>0.53600000000000003</v>
      </c>
      <c r="I159" s="371">
        <v>0.74299999999999999</v>
      </c>
      <c r="J159" s="371">
        <v>0.88400000000000001</v>
      </c>
      <c r="K159" s="371">
        <v>0.97599999999999998</v>
      </c>
      <c r="L159" s="371">
        <v>1.0960000000000001</v>
      </c>
      <c r="M159" s="371">
        <v>1.246</v>
      </c>
      <c r="N159" s="371">
        <v>1.298</v>
      </c>
      <c r="O159" s="371">
        <v>2</v>
      </c>
      <c r="P159" s="371">
        <v>2</v>
      </c>
      <c r="Q159" s="371">
        <v>2</v>
      </c>
      <c r="R159" s="371">
        <v>2</v>
      </c>
      <c r="S159" s="371">
        <v>2</v>
      </c>
      <c r="T159" s="371">
        <v>2</v>
      </c>
      <c r="U159" s="371">
        <v>2</v>
      </c>
      <c r="V159" s="371">
        <v>2</v>
      </c>
      <c r="W159" s="371">
        <v>2</v>
      </c>
      <c r="X159" s="371">
        <f t="shared" ref="T159:X160" si="35">W159</f>
        <v>2</v>
      </c>
      <c r="Y159" s="381">
        <v>1000</v>
      </c>
    </row>
    <row r="160" spans="1:26" x14ac:dyDescent="0.25">
      <c r="A160" s="378" t="s">
        <v>34</v>
      </c>
      <c r="B160" s="372">
        <v>0</v>
      </c>
      <c r="C160" s="373">
        <v>64.981999999999999</v>
      </c>
      <c r="D160" s="373">
        <v>69.516000000000005</v>
      </c>
      <c r="E160" s="373">
        <v>55.536999999999999</v>
      </c>
      <c r="F160" s="373">
        <v>62.81</v>
      </c>
      <c r="G160" s="373">
        <v>62.149000000000001</v>
      </c>
      <c r="H160" s="373">
        <v>59.41</v>
      </c>
      <c r="I160" s="373">
        <v>53.837000000000003</v>
      </c>
      <c r="J160" s="373">
        <v>46.942</v>
      </c>
      <c r="K160" s="373">
        <v>40.046999999999997</v>
      </c>
      <c r="L160" s="373">
        <v>12.561999999999999</v>
      </c>
      <c r="M160" s="373">
        <v>2.0779999999999998</v>
      </c>
      <c r="N160" s="373">
        <v>0</v>
      </c>
      <c r="O160" s="373">
        <v>0</v>
      </c>
      <c r="P160" s="373">
        <v>0</v>
      </c>
      <c r="Q160" s="373">
        <v>0</v>
      </c>
      <c r="R160" s="373">
        <v>0</v>
      </c>
      <c r="S160" s="373">
        <v>0</v>
      </c>
      <c r="T160" s="373">
        <f t="shared" si="35"/>
        <v>0</v>
      </c>
      <c r="U160" s="373">
        <f t="shared" si="35"/>
        <v>0</v>
      </c>
      <c r="V160" s="373">
        <f t="shared" si="35"/>
        <v>0</v>
      </c>
      <c r="W160" s="373">
        <f t="shared" si="35"/>
        <v>0</v>
      </c>
      <c r="X160" s="373">
        <f t="shared" si="35"/>
        <v>0</v>
      </c>
      <c r="Y160" s="382">
        <v>0</v>
      </c>
    </row>
    <row r="161" spans="1:26" ht="13" thickBot="1" x14ac:dyDescent="0.3">
      <c r="A161" s="379" t="s">
        <v>119</v>
      </c>
      <c r="B161" s="374">
        <f t="shared" ref="B161:V161" si="36">(C160+B160)*(C159-B159)/2</f>
        <v>0.48736499999999999</v>
      </c>
      <c r="C161" s="375">
        <f t="shared" si="36"/>
        <v>0.47074299999999991</v>
      </c>
      <c r="D161" s="375">
        <f t="shared" si="36"/>
        <v>2.6261130000000001</v>
      </c>
      <c r="E161" s="375">
        <f t="shared" si="36"/>
        <v>3.1953689999999999</v>
      </c>
      <c r="F161" s="375">
        <f t="shared" si="36"/>
        <v>13.995408000000003</v>
      </c>
      <c r="G161" s="375">
        <f t="shared" si="36"/>
        <v>11.791223</v>
      </c>
      <c r="H161" s="375">
        <f t="shared" si="36"/>
        <v>11.721064499999997</v>
      </c>
      <c r="I161" s="375">
        <f t="shared" si="36"/>
        <v>7.1049195000000003</v>
      </c>
      <c r="J161" s="375">
        <f>(K160+J160)*(K159-J159)/2</f>
        <v>4.0014939999999992</v>
      </c>
      <c r="K161" s="375">
        <f t="shared" si="36"/>
        <v>3.1565400000000023</v>
      </c>
      <c r="L161" s="375">
        <f t="shared" si="36"/>
        <v>1.0979999999999992</v>
      </c>
      <c r="M161" s="375">
        <f t="shared" si="36"/>
        <v>5.4028000000000041E-2</v>
      </c>
      <c r="N161" s="375">
        <f t="shared" si="36"/>
        <v>0</v>
      </c>
      <c r="O161" s="375">
        <f t="shared" si="36"/>
        <v>0</v>
      </c>
      <c r="P161" s="375">
        <f t="shared" si="36"/>
        <v>0</v>
      </c>
      <c r="Q161" s="375">
        <f t="shared" si="36"/>
        <v>0</v>
      </c>
      <c r="R161" s="375">
        <f t="shared" si="36"/>
        <v>0</v>
      </c>
      <c r="S161" s="375">
        <f>(T160+S160)*(T159-S159)/2</f>
        <v>0</v>
      </c>
      <c r="T161" s="375">
        <f t="shared" si="36"/>
        <v>0</v>
      </c>
      <c r="U161" s="375">
        <f t="shared" si="36"/>
        <v>0</v>
      </c>
      <c r="V161" s="375">
        <f t="shared" si="36"/>
        <v>0</v>
      </c>
      <c r="W161" s="375">
        <f>(X160+W160)*(X159-W159)/2</f>
        <v>0</v>
      </c>
      <c r="X161" s="375">
        <f>(Y160+X160)*(Y159-X159)/2</f>
        <v>0</v>
      </c>
      <c r="Y161" s="369"/>
    </row>
    <row r="162" spans="1:26" ht="13" thickBot="1" x14ac:dyDescent="0.3"/>
    <row r="163" spans="1:26" ht="13.5" thickBot="1" x14ac:dyDescent="0.35">
      <c r="A163" s="361" t="s">
        <v>326</v>
      </c>
      <c r="B163" s="359">
        <f>ROW(A163)</f>
        <v>163</v>
      </c>
      <c r="C163" s="363" t="s">
        <v>118</v>
      </c>
      <c r="D163" s="353">
        <f>SUM(B166:Y166)</f>
        <v>68.380602999999994</v>
      </c>
      <c r="E163" s="363" t="s">
        <v>117</v>
      </c>
      <c r="F163" s="354">
        <f>D163/g/J163</f>
        <v>134.04807300243078</v>
      </c>
      <c r="G163" s="363" t="s">
        <v>59</v>
      </c>
      <c r="H163" s="64">
        <v>0.1075</v>
      </c>
      <c r="I163" s="363" t="s">
        <v>274</v>
      </c>
      <c r="J163" s="355">
        <f>H163-L163</f>
        <v>5.1999999999999998E-2</v>
      </c>
      <c r="K163" s="363" t="s">
        <v>275</v>
      </c>
      <c r="L163" s="64">
        <v>5.5500000000000001E-2</v>
      </c>
      <c r="M163" s="363" t="s">
        <v>60</v>
      </c>
      <c r="N163" s="396">
        <v>66.5</v>
      </c>
      <c r="O163" s="363" t="s">
        <v>62</v>
      </c>
      <c r="P163" s="396">
        <v>66.5</v>
      </c>
      <c r="Q163" s="363" t="s">
        <v>63</v>
      </c>
      <c r="R163" s="65">
        <v>133</v>
      </c>
      <c r="S163" s="363" t="s">
        <v>64</v>
      </c>
      <c r="T163" s="65">
        <v>24</v>
      </c>
      <c r="U163" s="363" t="s">
        <v>57</v>
      </c>
      <c r="V163" s="66" t="s">
        <v>403</v>
      </c>
      <c r="W163" s="463" t="s">
        <v>398</v>
      </c>
      <c r="X163" s="465">
        <v>0.86</v>
      </c>
      <c r="Y163" s="463" t="s">
        <v>397</v>
      </c>
      <c r="Z163" s="358">
        <v>13</v>
      </c>
    </row>
    <row r="164" spans="1:26" x14ac:dyDescent="0.25">
      <c r="A164" s="362" t="s">
        <v>33</v>
      </c>
      <c r="B164" s="370">
        <v>0</v>
      </c>
      <c r="C164" s="371">
        <v>5.0000000000000001E-3</v>
      </c>
      <c r="D164" s="371">
        <v>1.2999999999999999E-2</v>
      </c>
      <c r="E164" s="371">
        <v>2.1999999999999999E-2</v>
      </c>
      <c r="F164" s="371">
        <v>4.2999999999999997E-2</v>
      </c>
      <c r="G164" s="371">
        <v>0.11899999999999999</v>
      </c>
      <c r="H164" s="371">
        <v>0.19800000000000001</v>
      </c>
      <c r="I164" s="371">
        <v>0.26700000000000002</v>
      </c>
      <c r="J164" s="371">
        <v>0.34300000000000003</v>
      </c>
      <c r="K164" s="371">
        <v>0.40400000000000003</v>
      </c>
      <c r="L164" s="371">
        <v>0.498</v>
      </c>
      <c r="M164" s="371">
        <v>0.55500000000000005</v>
      </c>
      <c r="N164" s="371">
        <v>0.622</v>
      </c>
      <c r="O164" s="371">
        <v>0.66300000000000003</v>
      </c>
      <c r="P164" s="371">
        <v>0.70399999999999996</v>
      </c>
      <c r="Q164" s="371">
        <v>0.72899999999999998</v>
      </c>
      <c r="R164" s="371">
        <v>0.747</v>
      </c>
      <c r="S164" s="371">
        <v>0.76800000000000002</v>
      </c>
      <c r="T164" s="371">
        <v>0.82099999999999995</v>
      </c>
      <c r="U164" s="371">
        <v>0.85199999999999998</v>
      </c>
      <c r="V164" s="371">
        <v>0.89200000000000002</v>
      </c>
      <c r="W164" s="371">
        <v>1</v>
      </c>
      <c r="X164" s="371">
        <v>2</v>
      </c>
      <c r="Y164" s="381">
        <v>1000</v>
      </c>
    </row>
    <row r="165" spans="1:26" x14ac:dyDescent="0.25">
      <c r="A165" s="378" t="s">
        <v>34</v>
      </c>
      <c r="B165" s="372">
        <v>0</v>
      </c>
      <c r="C165" s="373">
        <v>60</v>
      </c>
      <c r="D165" s="373">
        <v>89.007000000000005</v>
      </c>
      <c r="E165" s="373">
        <v>96.290999999999997</v>
      </c>
      <c r="F165" s="373">
        <v>81.721999999999994</v>
      </c>
      <c r="G165" s="373">
        <v>85.563000000000002</v>
      </c>
      <c r="H165" s="373">
        <v>87.947000000000003</v>
      </c>
      <c r="I165" s="373">
        <v>89.272000000000006</v>
      </c>
      <c r="J165" s="373">
        <v>89.933999999999997</v>
      </c>
      <c r="K165" s="373">
        <v>90.861000000000004</v>
      </c>
      <c r="L165" s="373">
        <v>91.522999999999996</v>
      </c>
      <c r="M165" s="373">
        <v>89.668999999999997</v>
      </c>
      <c r="N165" s="373">
        <v>83.974000000000004</v>
      </c>
      <c r="O165" s="373">
        <v>80.53</v>
      </c>
      <c r="P165" s="373">
        <v>78.94</v>
      </c>
      <c r="Q165" s="373">
        <v>74.171999999999997</v>
      </c>
      <c r="R165" s="373">
        <v>66.887</v>
      </c>
      <c r="S165" s="373">
        <v>53.774999999999999</v>
      </c>
      <c r="T165" s="373">
        <v>18.542999999999999</v>
      </c>
      <c r="U165" s="373">
        <v>7.8150000000000004</v>
      </c>
      <c r="V165" s="373">
        <v>2.1190000000000002</v>
      </c>
      <c r="W165" s="373">
        <v>0</v>
      </c>
      <c r="X165" s="373">
        <v>0</v>
      </c>
      <c r="Y165" s="382">
        <v>0</v>
      </c>
    </row>
    <row r="166" spans="1:26" ht="13" thickBot="1" x14ac:dyDescent="0.3">
      <c r="A166" s="379" t="s">
        <v>119</v>
      </c>
      <c r="B166" s="374">
        <f t="shared" ref="B166:X166" si="37">(C165+B165)*(C164-B164)/2</f>
        <v>0.15</v>
      </c>
      <c r="C166" s="375">
        <f t="shared" si="37"/>
        <v>0.596028</v>
      </c>
      <c r="D166" s="375">
        <f t="shared" si="37"/>
        <v>0.83384099999999994</v>
      </c>
      <c r="E166" s="375">
        <f t="shared" si="37"/>
        <v>1.8691364999999995</v>
      </c>
      <c r="F166" s="375">
        <f t="shared" si="37"/>
        <v>6.3568299999999995</v>
      </c>
      <c r="G166" s="375">
        <f t="shared" si="37"/>
        <v>6.8536450000000011</v>
      </c>
      <c r="H166" s="375">
        <f t="shared" si="37"/>
        <v>6.1140555000000001</v>
      </c>
      <c r="I166" s="375">
        <f t="shared" si="37"/>
        <v>6.8098280000000013</v>
      </c>
      <c r="J166" s="375">
        <f t="shared" si="37"/>
        <v>5.5142475000000006</v>
      </c>
      <c r="K166" s="375">
        <f t="shared" si="37"/>
        <v>8.5720479999999988</v>
      </c>
      <c r="L166" s="375">
        <f t="shared" si="37"/>
        <v>5.1639720000000047</v>
      </c>
      <c r="M166" s="375">
        <f t="shared" si="37"/>
        <v>5.8170404999999956</v>
      </c>
      <c r="N166" s="375">
        <f t="shared" si="37"/>
        <v>3.3723320000000032</v>
      </c>
      <c r="O166" s="375">
        <f t="shared" si="37"/>
        <v>3.2691349999999941</v>
      </c>
      <c r="P166" s="375">
        <f t="shared" si="37"/>
        <v>1.9139000000000017</v>
      </c>
      <c r="Q166" s="375">
        <f t="shared" si="37"/>
        <v>1.2695310000000011</v>
      </c>
      <c r="R166" s="375">
        <f t="shared" si="37"/>
        <v>1.2669510000000013</v>
      </c>
      <c r="S166" s="375">
        <f t="shared" si="37"/>
        <v>1.9164269999999977</v>
      </c>
      <c r="T166" s="375">
        <f t="shared" si="37"/>
        <v>0.40854900000000038</v>
      </c>
      <c r="U166" s="375">
        <f t="shared" si="37"/>
        <v>0.19868000000000019</v>
      </c>
      <c r="V166" s="375">
        <f t="shared" si="37"/>
        <v>0.114426</v>
      </c>
      <c r="W166" s="375">
        <f t="shared" si="37"/>
        <v>0</v>
      </c>
      <c r="X166" s="375">
        <f t="shared" si="37"/>
        <v>0</v>
      </c>
      <c r="Y166" s="369"/>
    </row>
    <row r="167" spans="1:26" ht="13" thickBot="1" x14ac:dyDescent="0.3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</row>
    <row r="168" spans="1:26" ht="13.5" thickBot="1" x14ac:dyDescent="0.35">
      <c r="A168" s="361" t="s">
        <v>327</v>
      </c>
      <c r="B168" s="359">
        <f>ROW(A168)</f>
        <v>168</v>
      </c>
      <c r="C168" s="363" t="s">
        <v>118</v>
      </c>
      <c r="D168" s="353">
        <f>SUM(B171:Y171)</f>
        <v>67.985428500000012</v>
      </c>
      <c r="E168" s="363" t="s">
        <v>117</v>
      </c>
      <c r="F168" s="354">
        <f>D168/g/J168</f>
        <v>181.89545859519862</v>
      </c>
      <c r="G168" s="363" t="s">
        <v>59</v>
      </c>
      <c r="H168" s="64">
        <v>9.1799999999999993E-2</v>
      </c>
      <c r="I168" s="363" t="s">
        <v>274</v>
      </c>
      <c r="J168" s="355">
        <f>H168-L168</f>
        <v>3.8099999999999988E-2</v>
      </c>
      <c r="K168" s="363" t="s">
        <v>275</v>
      </c>
      <c r="L168" s="64">
        <v>5.3700000000000005E-2</v>
      </c>
      <c r="M168" s="363" t="s">
        <v>60</v>
      </c>
      <c r="N168" s="396">
        <v>66.5</v>
      </c>
      <c r="O168" s="363" t="s">
        <v>62</v>
      </c>
      <c r="P168" s="396">
        <v>66.5</v>
      </c>
      <c r="Q168" s="363" t="s">
        <v>63</v>
      </c>
      <c r="R168" s="65">
        <v>133</v>
      </c>
      <c r="S168" s="363" t="s">
        <v>64</v>
      </c>
      <c r="T168" s="65">
        <v>24</v>
      </c>
      <c r="U168" s="363" t="s">
        <v>57</v>
      </c>
      <c r="V168" s="66" t="s">
        <v>403</v>
      </c>
      <c r="W168" s="463" t="s">
        <v>398</v>
      </c>
      <c r="X168" s="465">
        <v>0.33</v>
      </c>
      <c r="Y168" s="463" t="s">
        <v>397</v>
      </c>
      <c r="Z168" s="358">
        <v>15</v>
      </c>
    </row>
    <row r="169" spans="1:26" x14ac:dyDescent="0.25">
      <c r="A169" s="362" t="s">
        <v>33</v>
      </c>
      <c r="B169" s="370">
        <v>0</v>
      </c>
      <c r="C169" s="371">
        <v>4.0000000000000001E-3</v>
      </c>
      <c r="D169" s="371">
        <v>7.0000000000000001E-3</v>
      </c>
      <c r="E169" s="371">
        <v>0.01</v>
      </c>
      <c r="F169" s="371">
        <v>2.1999999999999999E-2</v>
      </c>
      <c r="G169" s="371">
        <v>2.8000000000000001E-2</v>
      </c>
      <c r="H169" s="371">
        <v>4.1000000000000002E-2</v>
      </c>
      <c r="I169" s="371">
        <v>5.8000000000000003E-2</v>
      </c>
      <c r="J169" s="371">
        <v>7.6999999999999999E-2</v>
      </c>
      <c r="K169" s="371">
        <v>8.8999999999999996E-2</v>
      </c>
      <c r="L169" s="371">
        <v>9.7000000000000003E-2</v>
      </c>
      <c r="M169" s="371">
        <v>0.11899999999999999</v>
      </c>
      <c r="N169" s="371">
        <v>0.14699999999999999</v>
      </c>
      <c r="O169" s="371">
        <v>0.17699999999999999</v>
      </c>
      <c r="P169" s="371">
        <v>0.20699999999999999</v>
      </c>
      <c r="Q169" s="371">
        <v>0.253</v>
      </c>
      <c r="R169" s="371">
        <v>0.25900000000000001</v>
      </c>
      <c r="S169" s="371">
        <v>0.27200000000000002</v>
      </c>
      <c r="T169" s="371">
        <v>0.28000000000000003</v>
      </c>
      <c r="U169" s="371">
        <v>0.28599999999999998</v>
      </c>
      <c r="V169" s="371">
        <v>0.29399999999999998</v>
      </c>
      <c r="W169" s="371">
        <v>0.32800000000000001</v>
      </c>
      <c r="X169" s="371">
        <v>2</v>
      </c>
      <c r="Y169" s="381">
        <v>1000</v>
      </c>
    </row>
    <row r="170" spans="1:26" x14ac:dyDescent="0.25">
      <c r="A170" s="378" t="s">
        <v>34</v>
      </c>
      <c r="B170" s="372">
        <v>0</v>
      </c>
      <c r="C170" s="376">
        <v>100.52800000000001</v>
      </c>
      <c r="D170" s="376">
        <v>197.49299999999999</v>
      </c>
      <c r="E170" s="376">
        <v>222.03200000000001</v>
      </c>
      <c r="F170" s="376">
        <v>241.42500000000001</v>
      </c>
      <c r="G170" s="376">
        <v>237.863</v>
      </c>
      <c r="H170" s="376">
        <v>239.446</v>
      </c>
      <c r="I170" s="376">
        <v>252.50700000000001</v>
      </c>
      <c r="J170" s="376">
        <v>263.98399999999998</v>
      </c>
      <c r="K170" s="376">
        <v>275.46199999999999</v>
      </c>
      <c r="L170" s="376">
        <v>271.50400000000002</v>
      </c>
      <c r="M170" s="376">
        <v>278.62799999999999</v>
      </c>
      <c r="N170" s="376">
        <v>281.39800000000002</v>
      </c>
      <c r="O170" s="376">
        <v>272.29599999999999</v>
      </c>
      <c r="P170" s="376">
        <v>258.44299999999998</v>
      </c>
      <c r="Q170" s="376">
        <v>218.47</v>
      </c>
      <c r="R170" s="376">
        <v>188.786</v>
      </c>
      <c r="S170" s="376">
        <v>74.802000000000007</v>
      </c>
      <c r="T170" s="376">
        <v>31.265999999999998</v>
      </c>
      <c r="U170" s="376">
        <v>15.831</v>
      </c>
      <c r="V170" s="376">
        <v>8.7070000000000007</v>
      </c>
      <c r="W170" s="376">
        <v>0</v>
      </c>
      <c r="X170" s="373">
        <v>0</v>
      </c>
      <c r="Y170" s="382">
        <v>0</v>
      </c>
    </row>
    <row r="171" spans="1:26" ht="13" thickBot="1" x14ac:dyDescent="0.3">
      <c r="A171" s="379" t="s">
        <v>119</v>
      </c>
      <c r="B171" s="374">
        <f t="shared" ref="B171:X171" si="38">(C170+B170)*(C169-B169)/2</f>
        <v>0.20105600000000001</v>
      </c>
      <c r="C171" s="375">
        <f t="shared" si="38"/>
        <v>0.44703150000000003</v>
      </c>
      <c r="D171" s="375">
        <f t="shared" si="38"/>
        <v>0.6292875</v>
      </c>
      <c r="E171" s="375">
        <f t="shared" si="38"/>
        <v>2.7807419999999996</v>
      </c>
      <c r="F171" s="375">
        <f t="shared" si="38"/>
        <v>1.4378640000000005</v>
      </c>
      <c r="G171" s="375">
        <f t="shared" si="38"/>
        <v>3.1025084999999999</v>
      </c>
      <c r="H171" s="375">
        <f t="shared" si="38"/>
        <v>4.1816005000000001</v>
      </c>
      <c r="I171" s="375">
        <f t="shared" si="38"/>
        <v>4.9066644999999989</v>
      </c>
      <c r="J171" s="375">
        <f t="shared" si="38"/>
        <v>3.2366759999999988</v>
      </c>
      <c r="K171" s="375">
        <f t="shared" si="38"/>
        <v>2.187864000000002</v>
      </c>
      <c r="L171" s="375">
        <f t="shared" si="38"/>
        <v>6.0514519999999985</v>
      </c>
      <c r="M171" s="375">
        <f t="shared" si="38"/>
        <v>7.8403640000000001</v>
      </c>
      <c r="N171" s="375">
        <f t="shared" si="38"/>
        <v>8.3054099999999984</v>
      </c>
      <c r="O171" s="375">
        <f t="shared" si="38"/>
        <v>7.9610850000000006</v>
      </c>
      <c r="P171" s="375">
        <f t="shared" si="38"/>
        <v>10.968999000000004</v>
      </c>
      <c r="Q171" s="375">
        <f t="shared" si="38"/>
        <v>1.2217680000000011</v>
      </c>
      <c r="R171" s="375">
        <f t="shared" si="38"/>
        <v>1.7133220000000016</v>
      </c>
      <c r="S171" s="375">
        <f t="shared" si="38"/>
        <v>0.42427200000000043</v>
      </c>
      <c r="T171" s="375">
        <f t="shared" si="38"/>
        <v>0.14129099999999881</v>
      </c>
      <c r="U171" s="375">
        <f t="shared" si="38"/>
        <v>9.8152000000000086E-2</v>
      </c>
      <c r="V171" s="375">
        <f t="shared" si="38"/>
        <v>0.14801900000000015</v>
      </c>
      <c r="W171" s="375">
        <f t="shared" si="38"/>
        <v>0</v>
      </c>
      <c r="X171" s="375">
        <f t="shared" si="38"/>
        <v>0</v>
      </c>
      <c r="Y171" s="369"/>
    </row>
    <row r="172" spans="1:26" ht="13" thickBot="1" x14ac:dyDescent="0.3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spans="1:26" ht="13.5" thickBot="1" x14ac:dyDescent="0.35">
      <c r="A173" s="361" t="s">
        <v>328</v>
      </c>
      <c r="B173" s="359">
        <f>ROW(A173)</f>
        <v>173</v>
      </c>
      <c r="C173" s="363" t="s">
        <v>118</v>
      </c>
      <c r="D173" s="353">
        <f>SUM(B176:Y176)</f>
        <v>73.557381500000005</v>
      </c>
      <c r="E173" s="363" t="s">
        <v>117</v>
      </c>
      <c r="F173" s="354">
        <f>D173/g/J173</f>
        <v>156.86619302308719</v>
      </c>
      <c r="G173" s="363" t="s">
        <v>59</v>
      </c>
      <c r="H173" s="64">
        <v>0.1022</v>
      </c>
      <c r="I173" s="363" t="s">
        <v>274</v>
      </c>
      <c r="J173" s="355">
        <f>H173-L173</f>
        <v>4.7800000000000002E-2</v>
      </c>
      <c r="K173" s="363" t="s">
        <v>275</v>
      </c>
      <c r="L173" s="64">
        <v>5.4399999999999997E-2</v>
      </c>
      <c r="M173" s="363" t="s">
        <v>60</v>
      </c>
      <c r="N173" s="396">
        <v>66.5</v>
      </c>
      <c r="O173" s="363" t="s">
        <v>62</v>
      </c>
      <c r="P173" s="396">
        <v>66.5</v>
      </c>
      <c r="Q173" s="363" t="s">
        <v>63</v>
      </c>
      <c r="R173" s="65">
        <v>133</v>
      </c>
      <c r="S173" s="363" t="s">
        <v>64</v>
      </c>
      <c r="T173" s="65">
        <v>24</v>
      </c>
      <c r="U173" s="363" t="s">
        <v>57</v>
      </c>
      <c r="V173" s="66" t="s">
        <v>403</v>
      </c>
      <c r="W173" s="463" t="s">
        <v>398</v>
      </c>
      <c r="X173" s="465">
        <v>2.36</v>
      </c>
      <c r="Y173" s="463" t="s">
        <v>397</v>
      </c>
      <c r="Z173" s="358">
        <v>6</v>
      </c>
    </row>
    <row r="174" spans="1:26" x14ac:dyDescent="0.25">
      <c r="A174" s="362" t="s">
        <v>33</v>
      </c>
      <c r="B174" s="370">
        <v>0</v>
      </c>
      <c r="C174" s="371">
        <v>1.4E-2</v>
      </c>
      <c r="D174" s="371">
        <v>5.6000000000000001E-2</v>
      </c>
      <c r="E174" s="371">
        <v>9.1999999999999998E-2</v>
      </c>
      <c r="F174" s="371">
        <v>0.16</v>
      </c>
      <c r="G174" s="371">
        <v>0.23200000000000001</v>
      </c>
      <c r="H174" s="371">
        <v>0.36299999999999999</v>
      </c>
      <c r="I174" s="371">
        <v>0.499</v>
      </c>
      <c r="J174" s="371">
        <v>0.65500000000000003</v>
      </c>
      <c r="K174" s="371">
        <v>0.84299999999999997</v>
      </c>
      <c r="L174" s="371">
        <v>1.216</v>
      </c>
      <c r="M174" s="371">
        <v>1.3680000000000001</v>
      </c>
      <c r="N174" s="371">
        <v>1.54</v>
      </c>
      <c r="O174" s="371">
        <v>1.675</v>
      </c>
      <c r="P174" s="371">
        <v>1.861</v>
      </c>
      <c r="Q174" s="371">
        <v>2.0129999999999999</v>
      </c>
      <c r="R174" s="371">
        <v>2.1589999999999998</v>
      </c>
      <c r="S174" s="371">
        <v>2.302</v>
      </c>
      <c r="T174" s="371">
        <v>2.4620000000000002</v>
      </c>
      <c r="U174" s="371">
        <v>2.5979999999999999</v>
      </c>
      <c r="V174" s="371">
        <v>2.5979999999999999</v>
      </c>
      <c r="W174" s="371">
        <v>2.5979999999999999</v>
      </c>
      <c r="X174" s="371">
        <v>2.5979999999999999</v>
      </c>
      <c r="Y174" s="381">
        <v>1000</v>
      </c>
    </row>
    <row r="175" spans="1:26" x14ac:dyDescent="0.25">
      <c r="A175" s="378" t="s">
        <v>34</v>
      </c>
      <c r="B175" s="372">
        <v>0</v>
      </c>
      <c r="C175" s="376">
        <v>54.222000000000001</v>
      </c>
      <c r="D175" s="376">
        <v>43.456000000000003</v>
      </c>
      <c r="E175" s="376">
        <v>50.185000000000002</v>
      </c>
      <c r="F175" s="376">
        <v>54.063000000000002</v>
      </c>
      <c r="G175" s="376">
        <v>48.363999999999997</v>
      </c>
      <c r="H175" s="376">
        <v>45.752000000000002</v>
      </c>
      <c r="I175" s="376">
        <v>43.14</v>
      </c>
      <c r="J175" s="376">
        <v>40.29</v>
      </c>
      <c r="K175" s="376">
        <v>37.835999999999999</v>
      </c>
      <c r="L175" s="376">
        <v>32.612000000000002</v>
      </c>
      <c r="M175" s="376">
        <v>30.317</v>
      </c>
      <c r="N175" s="376">
        <v>26.359000000000002</v>
      </c>
      <c r="O175" s="376">
        <v>23.509</v>
      </c>
      <c r="P175" s="376">
        <v>19.077000000000002</v>
      </c>
      <c r="Q175" s="376">
        <v>14.565</v>
      </c>
      <c r="R175" s="376">
        <v>10.053000000000001</v>
      </c>
      <c r="S175" s="376">
        <v>4.8280000000000003</v>
      </c>
      <c r="T175" s="376">
        <v>1.504</v>
      </c>
      <c r="U175" s="373">
        <v>0</v>
      </c>
      <c r="V175" s="373">
        <v>0</v>
      </c>
      <c r="W175" s="373">
        <v>0</v>
      </c>
      <c r="X175" s="373">
        <v>0</v>
      </c>
      <c r="Y175" s="382">
        <v>0</v>
      </c>
    </row>
    <row r="176" spans="1:26" ht="13" thickBot="1" x14ac:dyDescent="0.3">
      <c r="A176" s="379" t="s">
        <v>119</v>
      </c>
      <c r="B176" s="374">
        <f t="shared" ref="B176:X176" si="39">(C175+B175)*(C174-B174)/2</f>
        <v>0.379554</v>
      </c>
      <c r="C176" s="375">
        <f t="shared" si="39"/>
        <v>2.0512380000000001</v>
      </c>
      <c r="D176" s="375">
        <f t="shared" si="39"/>
        <v>1.685538</v>
      </c>
      <c r="E176" s="375">
        <f t="shared" si="39"/>
        <v>3.5444320000000005</v>
      </c>
      <c r="F176" s="375">
        <f t="shared" si="39"/>
        <v>3.6873720000000003</v>
      </c>
      <c r="G176" s="375">
        <f t="shared" si="39"/>
        <v>6.1645979999999989</v>
      </c>
      <c r="H176" s="375">
        <f t="shared" si="39"/>
        <v>6.0446559999999998</v>
      </c>
      <c r="I176" s="375">
        <f t="shared" si="39"/>
        <v>6.5075400000000014</v>
      </c>
      <c r="J176" s="375">
        <f t="shared" si="39"/>
        <v>7.343843999999998</v>
      </c>
      <c r="K176" s="375">
        <f t="shared" si="39"/>
        <v>13.138552000000001</v>
      </c>
      <c r="L176" s="375">
        <f t="shared" si="39"/>
        <v>4.7826040000000045</v>
      </c>
      <c r="M176" s="375">
        <f t="shared" si="39"/>
        <v>4.8741359999999982</v>
      </c>
      <c r="N176" s="375">
        <f t="shared" si="39"/>
        <v>3.3660900000000002</v>
      </c>
      <c r="O176" s="375">
        <f t="shared" si="39"/>
        <v>3.9604979999999985</v>
      </c>
      <c r="P176" s="375">
        <f t="shared" si="39"/>
        <v>2.5567919999999988</v>
      </c>
      <c r="Q176" s="375">
        <f t="shared" si="39"/>
        <v>1.797113999999999</v>
      </c>
      <c r="R176" s="375">
        <f t="shared" si="39"/>
        <v>1.0639915000000018</v>
      </c>
      <c r="S176" s="375">
        <f t="shared" si="39"/>
        <v>0.50656000000000045</v>
      </c>
      <c r="T176" s="375">
        <f t="shared" si="39"/>
        <v>0.10227199999999975</v>
      </c>
      <c r="U176" s="375">
        <f t="shared" si="39"/>
        <v>0</v>
      </c>
      <c r="V176" s="375">
        <f t="shared" si="39"/>
        <v>0</v>
      </c>
      <c r="W176" s="375">
        <f t="shared" si="39"/>
        <v>0</v>
      </c>
      <c r="X176" s="375">
        <f t="shared" si="39"/>
        <v>0</v>
      </c>
      <c r="Y176" s="369"/>
    </row>
    <row r="177" spans="1:26" ht="13" thickBot="1" x14ac:dyDescent="0.3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</row>
    <row r="178" spans="1:26" ht="13.5" thickBot="1" x14ac:dyDescent="0.35">
      <c r="A178" s="361" t="s">
        <v>329</v>
      </c>
      <c r="B178" s="359">
        <f>ROW(A178)</f>
        <v>178</v>
      </c>
      <c r="C178" s="363" t="s">
        <v>118</v>
      </c>
      <c r="D178" s="353">
        <f>SUM(B181:Y181)</f>
        <v>73.169517999999997</v>
      </c>
      <c r="E178" s="363" t="s">
        <v>117</v>
      </c>
      <c r="F178" s="354">
        <f>D178/g/J178</f>
        <v>177.58729673316827</v>
      </c>
      <c r="G178" s="363" t="s">
        <v>59</v>
      </c>
      <c r="H178" s="64">
        <v>9.6000000000000002E-2</v>
      </c>
      <c r="I178" s="363" t="s">
        <v>274</v>
      </c>
      <c r="J178" s="355">
        <f>H178-L178</f>
        <v>4.2000000000000003E-2</v>
      </c>
      <c r="K178" s="363" t="s">
        <v>275</v>
      </c>
      <c r="L178" s="64">
        <v>5.3999999999999999E-2</v>
      </c>
      <c r="M178" s="363" t="s">
        <v>60</v>
      </c>
      <c r="N178" s="396">
        <v>66.5</v>
      </c>
      <c r="O178" s="363" t="s">
        <v>62</v>
      </c>
      <c r="P178" s="396">
        <v>66.5</v>
      </c>
      <c r="Q178" s="363" t="s">
        <v>63</v>
      </c>
      <c r="R178" s="65">
        <v>133</v>
      </c>
      <c r="S178" s="363" t="s">
        <v>64</v>
      </c>
      <c r="T178" s="65">
        <v>24</v>
      </c>
      <c r="U178" s="363" t="s">
        <v>57</v>
      </c>
      <c r="V178" s="66" t="s">
        <v>403</v>
      </c>
      <c r="W178" s="463" t="s">
        <v>398</v>
      </c>
      <c r="X178" s="465">
        <v>0.87</v>
      </c>
      <c r="Y178" s="463" t="s">
        <v>397</v>
      </c>
      <c r="Z178" s="358">
        <v>15</v>
      </c>
    </row>
    <row r="179" spans="1:26" x14ac:dyDescent="0.25">
      <c r="A179" s="362" t="s">
        <v>33</v>
      </c>
      <c r="B179" s="370">
        <v>0</v>
      </c>
      <c r="C179" s="371">
        <v>0.01</v>
      </c>
      <c r="D179" s="371">
        <v>2.3E-2</v>
      </c>
      <c r="E179" s="371">
        <v>0.04</v>
      </c>
      <c r="F179" s="371">
        <v>0.11799999999999999</v>
      </c>
      <c r="G179" s="371">
        <v>0.28299999999999997</v>
      </c>
      <c r="H179" s="371">
        <v>0.51</v>
      </c>
      <c r="I179" s="371">
        <v>0.68799999999999994</v>
      </c>
      <c r="J179" s="371">
        <v>0.78700000000000003</v>
      </c>
      <c r="K179" s="371">
        <v>0.85199999999999998</v>
      </c>
      <c r="L179" s="371">
        <v>0.873</v>
      </c>
      <c r="M179" s="371">
        <v>0.873</v>
      </c>
      <c r="N179" s="371">
        <v>0.873</v>
      </c>
      <c r="O179" s="371">
        <v>0.873</v>
      </c>
      <c r="P179" s="371">
        <v>0.873</v>
      </c>
      <c r="Q179" s="371">
        <v>0.873</v>
      </c>
      <c r="R179" s="371">
        <v>0.873</v>
      </c>
      <c r="S179" s="371">
        <v>0.873</v>
      </c>
      <c r="T179" s="371">
        <v>0.873</v>
      </c>
      <c r="U179" s="371">
        <v>0.873</v>
      </c>
      <c r="V179" s="371">
        <v>0.873</v>
      </c>
      <c r="W179" s="371">
        <v>0.873</v>
      </c>
      <c r="X179" s="371">
        <v>2</v>
      </c>
      <c r="Y179" s="381">
        <v>1000</v>
      </c>
    </row>
    <row r="180" spans="1:26" x14ac:dyDescent="0.25">
      <c r="A180" s="378" t="s">
        <v>34</v>
      </c>
      <c r="B180" s="372">
        <v>0</v>
      </c>
      <c r="C180" s="376">
        <v>76.073999999999998</v>
      </c>
      <c r="D180" s="376">
        <v>100.185</v>
      </c>
      <c r="E180" s="376">
        <v>92.424999999999997</v>
      </c>
      <c r="F180" s="376">
        <v>100.878</v>
      </c>
      <c r="G180" s="376">
        <v>102.402</v>
      </c>
      <c r="H180" s="376">
        <v>96.442999999999998</v>
      </c>
      <c r="I180" s="376">
        <v>87.436000000000007</v>
      </c>
      <c r="J180" s="376">
        <v>25.911999999999999</v>
      </c>
      <c r="K180" s="376">
        <v>7.2060000000000004</v>
      </c>
      <c r="L180" s="373">
        <v>0</v>
      </c>
      <c r="M180" s="373">
        <v>0</v>
      </c>
      <c r="N180" s="373">
        <v>0</v>
      </c>
      <c r="O180" s="373">
        <v>0</v>
      </c>
      <c r="P180" s="373">
        <v>0</v>
      </c>
      <c r="Q180" s="373">
        <v>0</v>
      </c>
      <c r="R180" s="373">
        <v>0</v>
      </c>
      <c r="S180" s="373">
        <v>0</v>
      </c>
      <c r="T180" s="373">
        <v>0</v>
      </c>
      <c r="U180" s="373">
        <v>0</v>
      </c>
      <c r="V180" s="373">
        <v>0</v>
      </c>
      <c r="W180" s="373">
        <v>0</v>
      </c>
      <c r="X180" s="373">
        <v>0</v>
      </c>
      <c r="Y180" s="382">
        <v>0</v>
      </c>
    </row>
    <row r="181" spans="1:26" ht="13" thickBot="1" x14ac:dyDescent="0.3">
      <c r="A181" s="379" t="s">
        <v>119</v>
      </c>
      <c r="B181" s="374">
        <f t="shared" ref="B181:X181" si="40">(C180+B180)*(C179-B179)/2</f>
        <v>0.38036999999999999</v>
      </c>
      <c r="C181" s="375">
        <f t="shared" si="40"/>
        <v>1.1456835000000001</v>
      </c>
      <c r="D181" s="375">
        <f t="shared" si="40"/>
        <v>1.6371850000000003</v>
      </c>
      <c r="E181" s="375">
        <f t="shared" si="40"/>
        <v>7.5388169999999981</v>
      </c>
      <c r="F181" s="375">
        <f t="shared" si="40"/>
        <v>16.770599999999998</v>
      </c>
      <c r="G181" s="375">
        <f t="shared" si="40"/>
        <v>22.568907500000002</v>
      </c>
      <c r="H181" s="375">
        <f t="shared" si="40"/>
        <v>16.365230999999994</v>
      </c>
      <c r="I181" s="375">
        <f t="shared" si="40"/>
        <v>5.6107260000000059</v>
      </c>
      <c r="J181" s="375">
        <f t="shared" si="40"/>
        <v>1.0763349999999992</v>
      </c>
      <c r="K181" s="375">
        <f t="shared" si="40"/>
        <v>7.5663000000000077E-2</v>
      </c>
      <c r="L181" s="375">
        <f t="shared" si="40"/>
        <v>0</v>
      </c>
      <c r="M181" s="375">
        <f t="shared" si="40"/>
        <v>0</v>
      </c>
      <c r="N181" s="375">
        <f t="shared" si="40"/>
        <v>0</v>
      </c>
      <c r="O181" s="375">
        <f t="shared" si="40"/>
        <v>0</v>
      </c>
      <c r="P181" s="375">
        <f t="shared" si="40"/>
        <v>0</v>
      </c>
      <c r="Q181" s="375">
        <f t="shared" si="40"/>
        <v>0</v>
      </c>
      <c r="R181" s="375">
        <f t="shared" si="40"/>
        <v>0</v>
      </c>
      <c r="S181" s="375">
        <f t="shared" si="40"/>
        <v>0</v>
      </c>
      <c r="T181" s="375">
        <f t="shared" si="40"/>
        <v>0</v>
      </c>
      <c r="U181" s="375">
        <f t="shared" si="40"/>
        <v>0</v>
      </c>
      <c r="V181" s="375">
        <f t="shared" si="40"/>
        <v>0</v>
      </c>
      <c r="W181" s="375">
        <f t="shared" si="40"/>
        <v>0</v>
      </c>
      <c r="X181" s="375">
        <f t="shared" si="40"/>
        <v>0</v>
      </c>
      <c r="Y181" s="369"/>
    </row>
    <row r="182" spans="1:26" ht="13" thickBot="1" x14ac:dyDescent="0.3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</row>
    <row r="183" spans="1:26" ht="13.5" thickBot="1" x14ac:dyDescent="0.35">
      <c r="A183" s="361" t="s">
        <v>330</v>
      </c>
      <c r="B183" s="359">
        <f>ROW(A183)</f>
        <v>183</v>
      </c>
      <c r="C183" s="363" t="s">
        <v>118</v>
      </c>
      <c r="D183" s="353">
        <f>SUM(B186:Y186)</f>
        <v>75.254384000000016</v>
      </c>
      <c r="E183" s="363" t="s">
        <v>117</v>
      </c>
      <c r="F183" s="354">
        <f>D183/g/J183</f>
        <v>232.46033422914161</v>
      </c>
      <c r="G183" s="363" t="s">
        <v>59</v>
      </c>
      <c r="H183" s="64">
        <v>9.5000000000000001E-2</v>
      </c>
      <c r="I183" s="363" t="s">
        <v>274</v>
      </c>
      <c r="J183" s="355">
        <f>H183-L183</f>
        <v>3.3000000000000002E-2</v>
      </c>
      <c r="K183" s="363" t="s">
        <v>275</v>
      </c>
      <c r="L183" s="64">
        <f>0.095-0.033</f>
        <v>6.2E-2</v>
      </c>
      <c r="M183" s="363" t="s">
        <v>60</v>
      </c>
      <c r="N183" s="396">
        <v>66.5</v>
      </c>
      <c r="O183" s="363" t="s">
        <v>62</v>
      </c>
      <c r="P183" s="396">
        <v>66.5</v>
      </c>
      <c r="Q183" s="363" t="s">
        <v>63</v>
      </c>
      <c r="R183" s="65">
        <v>133</v>
      </c>
      <c r="S183" s="363" t="s">
        <v>64</v>
      </c>
      <c r="T183" s="65">
        <v>24</v>
      </c>
      <c r="U183" s="363" t="s">
        <v>57</v>
      </c>
      <c r="V183" s="66" t="s">
        <v>403</v>
      </c>
      <c r="W183" s="463" t="s">
        <v>398</v>
      </c>
      <c r="X183" s="465">
        <v>1.5</v>
      </c>
      <c r="Y183" s="463" t="s">
        <v>397</v>
      </c>
      <c r="Z183" s="358">
        <v>12</v>
      </c>
    </row>
    <row r="184" spans="1:26" x14ac:dyDescent="0.25">
      <c r="A184" s="362" t="s">
        <v>33</v>
      </c>
      <c r="B184" s="370">
        <v>0</v>
      </c>
      <c r="C184" s="371">
        <v>0.02</v>
      </c>
      <c r="D184" s="371">
        <v>3.1E-2</v>
      </c>
      <c r="E184" s="371">
        <v>6.2E-2</v>
      </c>
      <c r="F184" s="371">
        <v>0.11700000000000001</v>
      </c>
      <c r="G184" s="371">
        <v>1.2110000000000001</v>
      </c>
      <c r="H184" s="371">
        <v>1.3759999999999999</v>
      </c>
      <c r="I184" s="371">
        <v>1.456</v>
      </c>
      <c r="J184" s="371">
        <v>1.532</v>
      </c>
      <c r="K184" s="371">
        <v>1.577</v>
      </c>
      <c r="L184" s="371">
        <v>2</v>
      </c>
      <c r="M184" s="371">
        <v>2</v>
      </c>
      <c r="N184" s="371">
        <v>2</v>
      </c>
      <c r="O184" s="371">
        <v>2</v>
      </c>
      <c r="P184" s="371">
        <v>2</v>
      </c>
      <c r="Q184" s="371">
        <v>2</v>
      </c>
      <c r="R184" s="371">
        <v>2</v>
      </c>
      <c r="S184" s="371">
        <v>2</v>
      </c>
      <c r="T184" s="371">
        <v>2</v>
      </c>
      <c r="U184" s="371">
        <v>2</v>
      </c>
      <c r="V184" s="371">
        <v>2</v>
      </c>
      <c r="W184" s="371">
        <v>2</v>
      </c>
      <c r="X184" s="371">
        <f t="shared" ref="T184:X185" si="41">W184</f>
        <v>2</v>
      </c>
      <c r="Y184" s="381">
        <v>1000</v>
      </c>
    </row>
    <row r="185" spans="1:26" x14ac:dyDescent="0.25">
      <c r="A185" s="378" t="s">
        <v>34</v>
      </c>
      <c r="B185" s="372">
        <v>0</v>
      </c>
      <c r="C185" s="373">
        <v>75.924000000000007</v>
      </c>
      <c r="D185" s="373">
        <v>84.147999999999996</v>
      </c>
      <c r="E185" s="373">
        <v>70.441000000000003</v>
      </c>
      <c r="F185" s="373">
        <v>73.659000000000006</v>
      </c>
      <c r="G185" s="373">
        <v>38.737000000000002</v>
      </c>
      <c r="H185" s="373">
        <v>14.779</v>
      </c>
      <c r="I185" s="373">
        <v>7.2709999999999999</v>
      </c>
      <c r="J185" s="373">
        <v>3.3370000000000002</v>
      </c>
      <c r="K185" s="373">
        <v>0</v>
      </c>
      <c r="L185" s="373">
        <v>0</v>
      </c>
      <c r="M185" s="373">
        <v>0</v>
      </c>
      <c r="N185" s="373">
        <v>0</v>
      </c>
      <c r="O185" s="373">
        <v>0</v>
      </c>
      <c r="P185" s="373">
        <v>0</v>
      </c>
      <c r="Q185" s="373">
        <v>0</v>
      </c>
      <c r="R185" s="373">
        <v>0</v>
      </c>
      <c r="S185" s="373">
        <v>0</v>
      </c>
      <c r="T185" s="373">
        <f t="shared" si="41"/>
        <v>0</v>
      </c>
      <c r="U185" s="373">
        <f t="shared" si="41"/>
        <v>0</v>
      </c>
      <c r="V185" s="373">
        <f t="shared" si="41"/>
        <v>0</v>
      </c>
      <c r="W185" s="373">
        <f t="shared" si="41"/>
        <v>0</v>
      </c>
      <c r="X185" s="373">
        <f t="shared" si="41"/>
        <v>0</v>
      </c>
      <c r="Y185" s="382">
        <v>0</v>
      </c>
    </row>
    <row r="186" spans="1:26" ht="13" thickBot="1" x14ac:dyDescent="0.3">
      <c r="A186" s="379" t="s">
        <v>119</v>
      </c>
      <c r="B186" s="374">
        <f t="shared" ref="B186:V186" si="42">(C185+B185)*(C184-B184)/2</f>
        <v>0.75924000000000014</v>
      </c>
      <c r="C186" s="375">
        <f t="shared" si="42"/>
        <v>0.88039599999999996</v>
      </c>
      <c r="D186" s="375">
        <f t="shared" si="42"/>
        <v>2.3961294999999998</v>
      </c>
      <c r="E186" s="375">
        <f t="shared" si="42"/>
        <v>3.9627500000000011</v>
      </c>
      <c r="F186" s="375">
        <f t="shared" si="42"/>
        <v>61.480612000000015</v>
      </c>
      <c r="G186" s="375">
        <f t="shared" si="42"/>
        <v>4.4150699999999956</v>
      </c>
      <c r="H186" s="375">
        <f t="shared" si="42"/>
        <v>0.88200000000000078</v>
      </c>
      <c r="I186" s="375">
        <f t="shared" si="42"/>
        <v>0.40310400000000035</v>
      </c>
      <c r="J186" s="375">
        <f>(K185+J185)*(K184-J184)/2</f>
        <v>7.5082499999999885E-2</v>
      </c>
      <c r="K186" s="375">
        <f t="shared" si="42"/>
        <v>0</v>
      </c>
      <c r="L186" s="375">
        <f t="shared" si="42"/>
        <v>0</v>
      </c>
      <c r="M186" s="375">
        <f t="shared" si="42"/>
        <v>0</v>
      </c>
      <c r="N186" s="375">
        <f t="shared" si="42"/>
        <v>0</v>
      </c>
      <c r="O186" s="375">
        <f t="shared" si="42"/>
        <v>0</v>
      </c>
      <c r="P186" s="375">
        <f t="shared" si="42"/>
        <v>0</v>
      </c>
      <c r="Q186" s="375">
        <f t="shared" si="42"/>
        <v>0</v>
      </c>
      <c r="R186" s="375">
        <f t="shared" si="42"/>
        <v>0</v>
      </c>
      <c r="S186" s="375">
        <f>(T185+S185)*(T184-S184)/2</f>
        <v>0</v>
      </c>
      <c r="T186" s="375">
        <f t="shared" si="42"/>
        <v>0</v>
      </c>
      <c r="U186" s="375">
        <f t="shared" si="42"/>
        <v>0</v>
      </c>
      <c r="V186" s="375">
        <f t="shared" si="42"/>
        <v>0</v>
      </c>
      <c r="W186" s="375">
        <f>(X185+W185)*(X184-W184)/2</f>
        <v>0</v>
      </c>
      <c r="X186" s="375">
        <f>(Y185+X185)*(Y184-X184)/2</f>
        <v>0</v>
      </c>
      <c r="Y186" s="369"/>
    </row>
    <row r="187" spans="1:26" ht="13.5" thickBot="1" x14ac:dyDescent="0.35">
      <c r="A187" s="6" t="s">
        <v>377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8" spans="1:26" ht="13.5" thickBot="1" x14ac:dyDescent="0.35">
      <c r="A188" s="361" t="s">
        <v>540</v>
      </c>
      <c r="B188" s="359">
        <f>ROW(A188)</f>
        <v>188</v>
      </c>
      <c r="C188" s="363" t="s">
        <v>118</v>
      </c>
      <c r="D188" s="353">
        <f>SUM(B191:Y191)</f>
        <v>141.04999999999998</v>
      </c>
      <c r="E188" s="363" t="s">
        <v>117</v>
      </c>
      <c r="F188" s="354">
        <f>D188/g/J188</f>
        <v>186.24592648930721</v>
      </c>
      <c r="G188" s="363" t="s">
        <v>59</v>
      </c>
      <c r="H188" s="64">
        <v>0.16189999999999999</v>
      </c>
      <c r="I188" s="363" t="s">
        <v>274</v>
      </c>
      <c r="J188" s="355">
        <f>H188-L188</f>
        <v>7.7199999999999991E-2</v>
      </c>
      <c r="K188" s="363" t="s">
        <v>275</v>
      </c>
      <c r="L188" s="64">
        <v>8.4699999999999998E-2</v>
      </c>
      <c r="M188" s="363" t="s">
        <v>60</v>
      </c>
      <c r="N188" s="65">
        <v>114</v>
      </c>
      <c r="O188" s="363" t="s">
        <v>62</v>
      </c>
      <c r="P188" s="65">
        <v>114</v>
      </c>
      <c r="Q188" s="363" t="s">
        <v>63</v>
      </c>
      <c r="R188" s="65">
        <v>228</v>
      </c>
      <c r="S188" s="363" t="s">
        <v>64</v>
      </c>
      <c r="T188" s="65">
        <v>24</v>
      </c>
      <c r="U188" s="363" t="s">
        <v>57</v>
      </c>
      <c r="V188" s="66" t="s">
        <v>122</v>
      </c>
      <c r="W188" s="463" t="s">
        <v>398</v>
      </c>
      <c r="X188" s="465">
        <v>0.96</v>
      </c>
      <c r="Y188" s="463" t="s">
        <v>397</v>
      </c>
      <c r="Z188" s="358">
        <v>15</v>
      </c>
    </row>
    <row r="189" spans="1:26" x14ac:dyDescent="0.25">
      <c r="A189" s="362" t="s">
        <v>33</v>
      </c>
      <c r="B189" s="370">
        <v>0</v>
      </c>
      <c r="C189" s="371">
        <v>0.02</v>
      </c>
      <c r="D189" s="371">
        <v>0.03</v>
      </c>
      <c r="E189" s="371">
        <v>0.05</v>
      </c>
      <c r="F189" s="371">
        <v>0.6</v>
      </c>
      <c r="G189" s="371">
        <v>0.67</v>
      </c>
      <c r="H189" s="371">
        <v>0.7</v>
      </c>
      <c r="I189" s="371">
        <v>0.8</v>
      </c>
      <c r="J189" s="371">
        <v>0.9</v>
      </c>
      <c r="K189" s="371">
        <v>1.05</v>
      </c>
      <c r="L189" s="371">
        <f t="shared" ref="L189:W189" si="43">K189</f>
        <v>1.05</v>
      </c>
      <c r="M189" s="371">
        <f t="shared" si="43"/>
        <v>1.05</v>
      </c>
      <c r="N189" s="371">
        <f t="shared" si="43"/>
        <v>1.05</v>
      </c>
      <c r="O189" s="371">
        <f t="shared" si="43"/>
        <v>1.05</v>
      </c>
      <c r="P189" s="371">
        <f t="shared" si="43"/>
        <v>1.05</v>
      </c>
      <c r="Q189" s="371">
        <f t="shared" si="43"/>
        <v>1.05</v>
      </c>
      <c r="R189" s="371">
        <f t="shared" si="43"/>
        <v>1.05</v>
      </c>
      <c r="S189" s="371">
        <f t="shared" si="43"/>
        <v>1.05</v>
      </c>
      <c r="T189" s="371">
        <f t="shared" si="43"/>
        <v>1.05</v>
      </c>
      <c r="U189" s="371">
        <f t="shared" si="43"/>
        <v>1.05</v>
      </c>
      <c r="V189" s="371">
        <f t="shared" si="43"/>
        <v>1.05</v>
      </c>
      <c r="W189" s="371">
        <f t="shared" si="43"/>
        <v>1.05</v>
      </c>
      <c r="X189" s="371">
        <v>2</v>
      </c>
      <c r="Y189" s="381">
        <v>1000</v>
      </c>
    </row>
    <row r="190" spans="1:26" x14ac:dyDescent="0.25">
      <c r="A190" s="378" t="s">
        <v>34</v>
      </c>
      <c r="B190" s="372">
        <v>0</v>
      </c>
      <c r="C190" s="373">
        <v>350</v>
      </c>
      <c r="D190" s="373">
        <v>250</v>
      </c>
      <c r="E190" s="373">
        <v>210</v>
      </c>
      <c r="F190" s="373">
        <v>150</v>
      </c>
      <c r="G190" s="373">
        <v>140</v>
      </c>
      <c r="H190" s="373">
        <v>130</v>
      </c>
      <c r="I190" s="373">
        <v>65</v>
      </c>
      <c r="J190" s="373">
        <v>30</v>
      </c>
      <c r="K190" s="373">
        <v>0</v>
      </c>
      <c r="L190" s="373">
        <v>0</v>
      </c>
      <c r="M190" s="373">
        <v>0</v>
      </c>
      <c r="N190" s="373">
        <v>0</v>
      </c>
      <c r="O190" s="373">
        <v>0</v>
      </c>
      <c r="P190" s="373">
        <v>0</v>
      </c>
      <c r="Q190" s="373">
        <v>0</v>
      </c>
      <c r="R190" s="373">
        <v>0</v>
      </c>
      <c r="S190" s="373">
        <f t="shared" ref="S190:X190" si="44">R190</f>
        <v>0</v>
      </c>
      <c r="T190" s="373">
        <f t="shared" si="44"/>
        <v>0</v>
      </c>
      <c r="U190" s="373">
        <f t="shared" si="44"/>
        <v>0</v>
      </c>
      <c r="V190" s="373">
        <f t="shared" si="44"/>
        <v>0</v>
      </c>
      <c r="W190" s="373">
        <f t="shared" si="44"/>
        <v>0</v>
      </c>
      <c r="X190" s="373">
        <f t="shared" si="44"/>
        <v>0</v>
      </c>
      <c r="Y190" s="382">
        <v>0</v>
      </c>
    </row>
    <row r="191" spans="1:26" ht="13" thickBot="1" x14ac:dyDescent="0.3">
      <c r="A191" s="379" t="s">
        <v>119</v>
      </c>
      <c r="B191" s="374">
        <f t="shared" ref="B191:X191" si="45">(C190+B190)*(C189-B189)/2</f>
        <v>3.5</v>
      </c>
      <c r="C191" s="375">
        <f t="shared" si="45"/>
        <v>2.9999999999999996</v>
      </c>
      <c r="D191" s="375">
        <f t="shared" si="45"/>
        <v>4.6000000000000005</v>
      </c>
      <c r="E191" s="375">
        <f t="shared" si="45"/>
        <v>98.999999999999986</v>
      </c>
      <c r="F191" s="375">
        <f t="shared" si="45"/>
        <v>10.150000000000009</v>
      </c>
      <c r="G191" s="375">
        <f t="shared" si="45"/>
        <v>4.0499999999999883</v>
      </c>
      <c r="H191" s="375">
        <f t="shared" si="45"/>
        <v>9.7500000000000089</v>
      </c>
      <c r="I191" s="375">
        <f t="shared" si="45"/>
        <v>4.7499999999999991</v>
      </c>
      <c r="J191" s="375">
        <f t="shared" si="45"/>
        <v>2.2500000000000004</v>
      </c>
      <c r="K191" s="375">
        <f t="shared" si="45"/>
        <v>0</v>
      </c>
      <c r="L191" s="375">
        <f t="shared" si="45"/>
        <v>0</v>
      </c>
      <c r="M191" s="375">
        <f t="shared" si="45"/>
        <v>0</v>
      </c>
      <c r="N191" s="375">
        <f t="shared" si="45"/>
        <v>0</v>
      </c>
      <c r="O191" s="375">
        <f t="shared" si="45"/>
        <v>0</v>
      </c>
      <c r="P191" s="375">
        <f t="shared" si="45"/>
        <v>0</v>
      </c>
      <c r="Q191" s="375">
        <f t="shared" si="45"/>
        <v>0</v>
      </c>
      <c r="R191" s="375">
        <f t="shared" si="45"/>
        <v>0</v>
      </c>
      <c r="S191" s="375">
        <f t="shared" si="45"/>
        <v>0</v>
      </c>
      <c r="T191" s="375">
        <f t="shared" si="45"/>
        <v>0</v>
      </c>
      <c r="U191" s="375">
        <f t="shared" si="45"/>
        <v>0</v>
      </c>
      <c r="V191" s="375">
        <f t="shared" si="45"/>
        <v>0</v>
      </c>
      <c r="W191" s="375">
        <f t="shared" si="45"/>
        <v>0</v>
      </c>
      <c r="X191" s="375">
        <f t="shared" si="45"/>
        <v>0</v>
      </c>
      <c r="Y191" s="369"/>
    </row>
    <row r="192" spans="1:26" ht="13" thickBot="1" x14ac:dyDescent="0.3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spans="1:26" ht="13.5" thickBot="1" x14ac:dyDescent="0.35">
      <c r="A193" s="361" t="s">
        <v>547</v>
      </c>
      <c r="B193" s="359">
        <f>ROW(A193)</f>
        <v>193</v>
      </c>
      <c r="C193" s="363" t="s">
        <v>118</v>
      </c>
      <c r="D193" s="353">
        <f>SUM(B196:Y196)</f>
        <v>142.44</v>
      </c>
      <c r="E193" s="363" t="s">
        <v>117</v>
      </c>
      <c r="F193" s="354">
        <f>D193/g/J193</f>
        <v>192.06187401906058</v>
      </c>
      <c r="G193" s="363" t="s">
        <v>59</v>
      </c>
      <c r="H193" s="64">
        <v>0.15989999999999999</v>
      </c>
      <c r="I193" s="363" t="s">
        <v>274</v>
      </c>
      <c r="J193" s="355">
        <f>H193-L193</f>
        <v>7.5599999999999987E-2</v>
      </c>
      <c r="K193" s="363" t="s">
        <v>275</v>
      </c>
      <c r="L193" s="64">
        <v>8.43E-2</v>
      </c>
      <c r="M193" s="363" t="s">
        <v>60</v>
      </c>
      <c r="N193" s="65">
        <v>114</v>
      </c>
      <c r="O193" s="363" t="s">
        <v>62</v>
      </c>
      <c r="P193" s="65">
        <v>114</v>
      </c>
      <c r="Q193" s="363" t="s">
        <v>63</v>
      </c>
      <c r="R193" s="65">
        <v>228</v>
      </c>
      <c r="S193" s="363" t="s">
        <v>64</v>
      </c>
      <c r="T193" s="65">
        <v>24</v>
      </c>
      <c r="U193" s="363" t="s">
        <v>57</v>
      </c>
      <c r="V193" s="66" t="s">
        <v>405</v>
      </c>
      <c r="W193" s="463" t="s">
        <v>398</v>
      </c>
      <c r="X193" s="465">
        <v>0.97</v>
      </c>
      <c r="Y193" s="463" t="s">
        <v>397</v>
      </c>
      <c r="Z193" s="358">
        <v>13</v>
      </c>
    </row>
    <row r="194" spans="1:26" x14ac:dyDescent="0.25">
      <c r="A194" s="362" t="s">
        <v>33</v>
      </c>
      <c r="B194" s="370">
        <v>0</v>
      </c>
      <c r="C194" s="371">
        <v>0.02</v>
      </c>
      <c r="D194" s="371">
        <v>0.04</v>
      </c>
      <c r="E194" s="371">
        <v>0.62</v>
      </c>
      <c r="F194" s="371">
        <v>0.66</v>
      </c>
      <c r="G194" s="371">
        <v>0.68</v>
      </c>
      <c r="H194" s="371">
        <v>0.8</v>
      </c>
      <c r="I194" s="371">
        <v>0.84</v>
      </c>
      <c r="J194" s="371">
        <v>0.88</v>
      </c>
      <c r="K194" s="371">
        <v>0.92</v>
      </c>
      <c r="L194" s="371">
        <v>0.96</v>
      </c>
      <c r="M194" s="371">
        <v>1</v>
      </c>
      <c r="N194" s="371">
        <v>1.08</v>
      </c>
      <c r="O194" s="371">
        <v>2</v>
      </c>
      <c r="P194" s="371">
        <v>2</v>
      </c>
      <c r="Q194" s="371">
        <v>2</v>
      </c>
      <c r="R194" s="371">
        <v>2</v>
      </c>
      <c r="S194" s="371">
        <f t="shared" ref="S194:X195" si="46">R194</f>
        <v>2</v>
      </c>
      <c r="T194" s="371">
        <f t="shared" si="46"/>
        <v>2</v>
      </c>
      <c r="U194" s="371">
        <f t="shared" si="46"/>
        <v>2</v>
      </c>
      <c r="V194" s="371">
        <f t="shared" si="46"/>
        <v>2</v>
      </c>
      <c r="W194" s="371">
        <f t="shared" si="46"/>
        <v>2</v>
      </c>
      <c r="X194" s="371">
        <f t="shared" si="46"/>
        <v>2</v>
      </c>
      <c r="Y194" s="381">
        <v>1000</v>
      </c>
    </row>
    <row r="195" spans="1:26" x14ac:dyDescent="0.25">
      <c r="A195" s="378" t="s">
        <v>34</v>
      </c>
      <c r="B195" s="372">
        <v>0</v>
      </c>
      <c r="C195" s="373">
        <v>250</v>
      </c>
      <c r="D195" s="373">
        <v>210</v>
      </c>
      <c r="E195" s="373">
        <v>160</v>
      </c>
      <c r="F195" s="373">
        <v>150</v>
      </c>
      <c r="G195" s="373">
        <v>142</v>
      </c>
      <c r="H195" s="373">
        <v>62</v>
      </c>
      <c r="I195" s="373">
        <v>48</v>
      </c>
      <c r="J195" s="373">
        <v>34</v>
      </c>
      <c r="K195" s="373">
        <v>24</v>
      </c>
      <c r="L195" s="373">
        <v>15</v>
      </c>
      <c r="M195" s="373">
        <v>10</v>
      </c>
      <c r="N195" s="373">
        <v>0</v>
      </c>
      <c r="O195" s="373">
        <v>0</v>
      </c>
      <c r="P195" s="373">
        <v>0</v>
      </c>
      <c r="Q195" s="373">
        <v>0</v>
      </c>
      <c r="R195" s="373">
        <v>0</v>
      </c>
      <c r="S195" s="373">
        <f t="shared" si="46"/>
        <v>0</v>
      </c>
      <c r="T195" s="373">
        <f t="shared" si="46"/>
        <v>0</v>
      </c>
      <c r="U195" s="373">
        <f t="shared" si="46"/>
        <v>0</v>
      </c>
      <c r="V195" s="373">
        <f t="shared" si="46"/>
        <v>0</v>
      </c>
      <c r="W195" s="373">
        <f t="shared" si="46"/>
        <v>0</v>
      </c>
      <c r="X195" s="373">
        <f t="shared" si="46"/>
        <v>0</v>
      </c>
      <c r="Y195" s="382">
        <v>0</v>
      </c>
    </row>
    <row r="196" spans="1:26" ht="13" thickBot="1" x14ac:dyDescent="0.3">
      <c r="A196" s="379" t="s">
        <v>119</v>
      </c>
      <c r="B196" s="374">
        <f t="shared" ref="B196:X196" si="47">(C195+B195)*(C194-B194)/2</f>
        <v>2.5</v>
      </c>
      <c r="C196" s="375">
        <f t="shared" si="47"/>
        <v>4.6000000000000005</v>
      </c>
      <c r="D196" s="375">
        <f t="shared" si="47"/>
        <v>107.3</v>
      </c>
      <c r="E196" s="375">
        <f t="shared" si="47"/>
        <v>6.2000000000000055</v>
      </c>
      <c r="F196" s="375">
        <f t="shared" si="47"/>
        <v>2.9200000000000026</v>
      </c>
      <c r="G196" s="375">
        <f t="shared" si="47"/>
        <v>12.24</v>
      </c>
      <c r="H196" s="375">
        <f t="shared" si="47"/>
        <v>2.1999999999999957</v>
      </c>
      <c r="I196" s="375">
        <f t="shared" si="47"/>
        <v>1.6400000000000015</v>
      </c>
      <c r="J196" s="375">
        <f t="shared" si="47"/>
        <v>1.160000000000001</v>
      </c>
      <c r="K196" s="375">
        <f t="shared" si="47"/>
        <v>0.77999999999999847</v>
      </c>
      <c r="L196" s="375">
        <f t="shared" si="47"/>
        <v>0.50000000000000044</v>
      </c>
      <c r="M196" s="375">
        <f t="shared" si="47"/>
        <v>0.40000000000000036</v>
      </c>
      <c r="N196" s="375">
        <f t="shared" si="47"/>
        <v>0</v>
      </c>
      <c r="O196" s="375">
        <f t="shared" si="47"/>
        <v>0</v>
      </c>
      <c r="P196" s="375">
        <f t="shared" si="47"/>
        <v>0</v>
      </c>
      <c r="Q196" s="375">
        <f t="shared" si="47"/>
        <v>0</v>
      </c>
      <c r="R196" s="375">
        <f t="shared" si="47"/>
        <v>0</v>
      </c>
      <c r="S196" s="375">
        <f t="shared" si="47"/>
        <v>0</v>
      </c>
      <c r="T196" s="375">
        <f t="shared" si="47"/>
        <v>0</v>
      </c>
      <c r="U196" s="375">
        <f t="shared" si="47"/>
        <v>0</v>
      </c>
      <c r="V196" s="375">
        <f t="shared" si="47"/>
        <v>0</v>
      </c>
      <c r="W196" s="375">
        <f t="shared" si="47"/>
        <v>0</v>
      </c>
      <c r="X196" s="375">
        <f t="shared" si="47"/>
        <v>0</v>
      </c>
      <c r="Y196" s="369"/>
    </row>
    <row r="197" spans="1:26" ht="13" thickBot="1" x14ac:dyDescent="0.3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spans="1:26" ht="13.5" thickBot="1" x14ac:dyDescent="0.35">
      <c r="A198" s="361" t="s">
        <v>542</v>
      </c>
      <c r="B198" s="359">
        <f>ROW(A198)</f>
        <v>198</v>
      </c>
      <c r="C198" s="363" t="s">
        <v>118</v>
      </c>
      <c r="D198" s="353">
        <f>SUM(B201:Y201)</f>
        <v>143.08845000000002</v>
      </c>
      <c r="E198" s="363" t="s">
        <v>117</v>
      </c>
      <c r="F198" s="354">
        <f>D198/g/J198</f>
        <v>168.23504721190514</v>
      </c>
      <c r="G198" s="363" t="s">
        <v>59</v>
      </c>
      <c r="H198" s="64">
        <v>0.17249999999999999</v>
      </c>
      <c r="I198" s="363" t="s">
        <v>274</v>
      </c>
      <c r="J198" s="355">
        <f>H198-L198</f>
        <v>8.6699999999999985E-2</v>
      </c>
      <c r="K198" s="363" t="s">
        <v>275</v>
      </c>
      <c r="L198" s="64">
        <v>8.5800000000000001E-2</v>
      </c>
      <c r="M198" s="363" t="s">
        <v>60</v>
      </c>
      <c r="N198" s="65">
        <v>114</v>
      </c>
      <c r="O198" s="363" t="s">
        <v>62</v>
      </c>
      <c r="P198" s="65">
        <v>114</v>
      </c>
      <c r="Q198" s="363" t="s">
        <v>63</v>
      </c>
      <c r="R198" s="65">
        <v>228</v>
      </c>
      <c r="S198" s="363" t="s">
        <v>64</v>
      </c>
      <c r="T198" s="65">
        <v>24</v>
      </c>
      <c r="U198" s="363" t="s">
        <v>57</v>
      </c>
      <c r="V198" s="66" t="s">
        <v>122</v>
      </c>
      <c r="W198" s="463" t="s">
        <v>398</v>
      </c>
      <c r="X198" s="465">
        <v>0.97</v>
      </c>
      <c r="Y198" s="463" t="s">
        <v>397</v>
      </c>
      <c r="Z198" s="358">
        <v>11</v>
      </c>
    </row>
    <row r="199" spans="1:26" x14ac:dyDescent="0.25">
      <c r="A199" s="362" t="s">
        <v>33</v>
      </c>
      <c r="B199" s="370">
        <v>0</v>
      </c>
      <c r="C199" s="371">
        <v>8.0000000000000002E-3</v>
      </c>
      <c r="D199" s="371">
        <v>1.2999999999999999E-2</v>
      </c>
      <c r="E199" s="371">
        <v>2.1999999999999999E-2</v>
      </c>
      <c r="F199" s="371">
        <v>3.5000000000000003E-2</v>
      </c>
      <c r="G199" s="371">
        <v>6.3E-2</v>
      </c>
      <c r="H199" s="371">
        <v>0.10299999999999999</v>
      </c>
      <c r="I199" s="371">
        <v>0.19600000000000001</v>
      </c>
      <c r="J199" s="371">
        <v>0.311</v>
      </c>
      <c r="K199" s="371">
        <v>0.47399999999999998</v>
      </c>
      <c r="L199" s="371">
        <v>0.56399999999999995</v>
      </c>
      <c r="M199" s="371">
        <v>0.76200000000000001</v>
      </c>
      <c r="N199" s="371">
        <v>0.85799999999999998</v>
      </c>
      <c r="O199" s="371">
        <v>0.92800000000000005</v>
      </c>
      <c r="P199" s="371">
        <v>1.038</v>
      </c>
      <c r="Q199" s="371">
        <v>1.08</v>
      </c>
      <c r="R199" s="371">
        <v>1.131</v>
      </c>
      <c r="S199" s="371">
        <v>1.1850000000000001</v>
      </c>
      <c r="T199" s="371">
        <v>1.224</v>
      </c>
      <c r="U199" s="371">
        <v>1.258</v>
      </c>
      <c r="V199" s="371">
        <v>1.4</v>
      </c>
      <c r="W199" s="371">
        <v>1.4410000000000001</v>
      </c>
      <c r="X199" s="371">
        <v>2</v>
      </c>
      <c r="Y199" s="381">
        <v>1000</v>
      </c>
    </row>
    <row r="200" spans="1:26" x14ac:dyDescent="0.25">
      <c r="A200" s="378" t="s">
        <v>34</v>
      </c>
      <c r="B200" s="372">
        <v>0</v>
      </c>
      <c r="C200" s="373">
        <v>168.643</v>
      </c>
      <c r="D200" s="373">
        <v>177.339</v>
      </c>
      <c r="E200" s="373">
        <v>177.86600000000001</v>
      </c>
      <c r="F200" s="373">
        <v>171.27799999999999</v>
      </c>
      <c r="G200" s="373">
        <v>157.839</v>
      </c>
      <c r="H200" s="373">
        <v>154.941</v>
      </c>
      <c r="I200" s="373">
        <v>148.88</v>
      </c>
      <c r="J200" s="373">
        <v>144.137</v>
      </c>
      <c r="K200" s="373">
        <v>138.07599999999999</v>
      </c>
      <c r="L200" s="373">
        <v>135.70500000000001</v>
      </c>
      <c r="M200" s="373">
        <v>125.955</v>
      </c>
      <c r="N200" s="373">
        <v>116.733</v>
      </c>
      <c r="O200" s="373">
        <v>101.71299999999999</v>
      </c>
      <c r="P200" s="373">
        <v>57.444000000000003</v>
      </c>
      <c r="Q200" s="373">
        <v>42.688000000000002</v>
      </c>
      <c r="R200" s="373">
        <v>31.884</v>
      </c>
      <c r="S200" s="373">
        <v>17.655000000000001</v>
      </c>
      <c r="T200" s="373">
        <v>9.4860000000000007</v>
      </c>
      <c r="U200" s="373">
        <v>5.27</v>
      </c>
      <c r="V200" s="373">
        <v>0.79100000000000004</v>
      </c>
      <c r="W200" s="373">
        <v>0</v>
      </c>
      <c r="X200" s="373">
        <f>W200</f>
        <v>0</v>
      </c>
      <c r="Y200" s="382">
        <v>0</v>
      </c>
    </row>
    <row r="201" spans="1:26" ht="13" thickBot="1" x14ac:dyDescent="0.3">
      <c r="A201" s="379" t="s">
        <v>119</v>
      </c>
      <c r="B201" s="374">
        <f t="shared" ref="B201:X201" si="48">(C200+B200)*(C199-B199)/2</f>
        <v>0.67457200000000006</v>
      </c>
      <c r="C201" s="375">
        <f t="shared" si="48"/>
        <v>0.86495499999999981</v>
      </c>
      <c r="D201" s="375">
        <f t="shared" si="48"/>
        <v>1.5984225000000001</v>
      </c>
      <c r="E201" s="375">
        <f t="shared" si="48"/>
        <v>2.2694360000000007</v>
      </c>
      <c r="F201" s="375">
        <f t="shared" si="48"/>
        <v>4.6076379999999988</v>
      </c>
      <c r="G201" s="375">
        <f t="shared" si="48"/>
        <v>6.2555999999999985</v>
      </c>
      <c r="H201" s="375">
        <f t="shared" si="48"/>
        <v>14.127676500000003</v>
      </c>
      <c r="I201" s="375">
        <f t="shared" si="48"/>
        <v>16.848477499999998</v>
      </c>
      <c r="J201" s="375">
        <f t="shared" si="48"/>
        <v>23.000359499999995</v>
      </c>
      <c r="K201" s="375">
        <f t="shared" si="48"/>
        <v>12.320144999999997</v>
      </c>
      <c r="L201" s="375">
        <f t="shared" si="48"/>
        <v>25.904340000000012</v>
      </c>
      <c r="M201" s="375">
        <f t="shared" si="48"/>
        <v>11.649023999999997</v>
      </c>
      <c r="N201" s="375">
        <f t="shared" si="48"/>
        <v>7.6456100000000067</v>
      </c>
      <c r="O201" s="375">
        <f t="shared" si="48"/>
        <v>8.7536349999999974</v>
      </c>
      <c r="P201" s="375">
        <f t="shared" si="48"/>
        <v>2.1027720000000021</v>
      </c>
      <c r="Q201" s="375">
        <f t="shared" si="48"/>
        <v>1.9015859999999976</v>
      </c>
      <c r="R201" s="375">
        <f t="shared" si="48"/>
        <v>1.3375530000000013</v>
      </c>
      <c r="S201" s="375">
        <f t="shared" si="48"/>
        <v>0.52924949999999904</v>
      </c>
      <c r="T201" s="375">
        <f t="shared" si="48"/>
        <v>0.25085200000000024</v>
      </c>
      <c r="U201" s="375">
        <f t="shared" si="48"/>
        <v>0.43033099999999969</v>
      </c>
      <c r="V201" s="375">
        <f t="shared" si="48"/>
        <v>1.621550000000006E-2</v>
      </c>
      <c r="W201" s="375">
        <f t="shared" si="48"/>
        <v>0</v>
      </c>
      <c r="X201" s="375">
        <f t="shared" si="48"/>
        <v>0</v>
      </c>
      <c r="Y201" s="369"/>
    </row>
    <row r="202" spans="1:26" ht="13" thickBot="1" x14ac:dyDescent="0.3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</row>
    <row r="203" spans="1:26" ht="13.5" thickBot="1" x14ac:dyDescent="0.35">
      <c r="A203" s="361" t="s">
        <v>541</v>
      </c>
      <c r="B203" s="359">
        <f>ROW(A203)</f>
        <v>203</v>
      </c>
      <c r="C203" s="363" t="s">
        <v>118</v>
      </c>
      <c r="D203" s="353">
        <f>SUM(B206:Y206)</f>
        <v>139.423417</v>
      </c>
      <c r="E203" s="363" t="s">
        <v>117</v>
      </c>
      <c r="F203" s="354">
        <f>D203/g/J203</f>
        <v>158.62027745922524</v>
      </c>
      <c r="G203" s="363" t="s">
        <v>59</v>
      </c>
      <c r="H203" s="64">
        <v>0.19450000000000001</v>
      </c>
      <c r="I203" s="363" t="s">
        <v>274</v>
      </c>
      <c r="J203" s="355">
        <f>H203-L203</f>
        <v>8.9600000000000013E-2</v>
      </c>
      <c r="K203" s="363" t="s">
        <v>275</v>
      </c>
      <c r="L203" s="64">
        <v>0.10489999999999999</v>
      </c>
      <c r="M203" s="363" t="s">
        <v>60</v>
      </c>
      <c r="N203" s="65">
        <v>114</v>
      </c>
      <c r="O203" s="363" t="s">
        <v>62</v>
      </c>
      <c r="P203" s="65">
        <v>144</v>
      </c>
      <c r="Q203" s="363" t="s">
        <v>63</v>
      </c>
      <c r="R203" s="65">
        <v>228</v>
      </c>
      <c r="S203" s="363" t="s">
        <v>64</v>
      </c>
      <c r="T203" s="65">
        <v>24</v>
      </c>
      <c r="U203" s="363" t="s">
        <v>57</v>
      </c>
      <c r="V203" s="66" t="s">
        <v>122</v>
      </c>
      <c r="W203" s="463" t="s">
        <v>398</v>
      </c>
      <c r="X203" s="465">
        <v>1.3</v>
      </c>
      <c r="Y203" s="463" t="s">
        <v>397</v>
      </c>
      <c r="Z203" s="358">
        <v>12</v>
      </c>
    </row>
    <row r="204" spans="1:26" x14ac:dyDescent="0.25">
      <c r="A204" s="362" t="s">
        <v>33</v>
      </c>
      <c r="B204" s="370">
        <v>0</v>
      </c>
      <c r="C204" s="371">
        <v>1.0999999999999999E-2</v>
      </c>
      <c r="D204" s="371">
        <v>2.1999999999999999E-2</v>
      </c>
      <c r="E204" s="371">
        <v>4.5999999999999999E-2</v>
      </c>
      <c r="F204" s="371">
        <v>8.1000000000000003E-2</v>
      </c>
      <c r="G204" s="371">
        <v>0.219</v>
      </c>
      <c r="H204" s="371">
        <v>0.253</v>
      </c>
      <c r="I204" s="371">
        <v>0.27400000000000002</v>
      </c>
      <c r="J204" s="371">
        <v>0.30499999999999999</v>
      </c>
      <c r="K204" s="371">
        <v>0.41199999999999998</v>
      </c>
      <c r="L204" s="371">
        <v>0.78900000000000003</v>
      </c>
      <c r="M204" s="371">
        <v>0.89900000000000002</v>
      </c>
      <c r="N204" s="371">
        <v>0.95299999999999996</v>
      </c>
      <c r="O204" s="371">
        <v>0.999</v>
      </c>
      <c r="P204" s="371">
        <v>1.03</v>
      </c>
      <c r="Q204" s="371">
        <v>1.0569999999999999</v>
      </c>
      <c r="R204" s="371">
        <v>1.1020000000000001</v>
      </c>
      <c r="S204" s="371">
        <v>1.1539999999999999</v>
      </c>
      <c r="T204" s="371">
        <v>1.1970000000000001</v>
      </c>
      <c r="U204" s="371">
        <v>1.2769999999999999</v>
      </c>
      <c r="V204" s="371">
        <v>1.335</v>
      </c>
      <c r="W204" s="371">
        <v>1.4510000000000001</v>
      </c>
      <c r="X204" s="371">
        <v>2</v>
      </c>
      <c r="Y204" s="381">
        <v>1000</v>
      </c>
    </row>
    <row r="205" spans="1:26" x14ac:dyDescent="0.25">
      <c r="A205" s="378" t="s">
        <v>34</v>
      </c>
      <c r="B205" s="372">
        <v>0</v>
      </c>
      <c r="C205" s="373">
        <v>198.41800000000001</v>
      </c>
      <c r="D205" s="373">
        <v>221.83500000000001</v>
      </c>
      <c r="E205" s="373">
        <v>212.65799999999999</v>
      </c>
      <c r="F205" s="373">
        <v>218.35400000000001</v>
      </c>
      <c r="G205" s="373">
        <v>204.43</v>
      </c>
      <c r="H205" s="373">
        <v>195.886</v>
      </c>
      <c r="I205" s="373">
        <v>183.54400000000001</v>
      </c>
      <c r="J205" s="373">
        <v>88.290999999999997</v>
      </c>
      <c r="K205" s="373">
        <v>93.671000000000006</v>
      </c>
      <c r="L205" s="373">
        <v>93.986999999999995</v>
      </c>
      <c r="M205" s="373">
        <v>91.138999999999996</v>
      </c>
      <c r="N205" s="373">
        <v>89.873000000000005</v>
      </c>
      <c r="O205" s="373">
        <v>87.025000000000006</v>
      </c>
      <c r="P205" s="373">
        <v>81.328999999999994</v>
      </c>
      <c r="Q205" s="373">
        <v>69.936999999999998</v>
      </c>
      <c r="R205" s="373">
        <v>54.113999999999997</v>
      </c>
      <c r="S205" s="373">
        <v>42.405000000000001</v>
      </c>
      <c r="T205" s="373">
        <v>31.646000000000001</v>
      </c>
      <c r="U205" s="373">
        <v>17.088999999999999</v>
      </c>
      <c r="V205" s="373">
        <v>9.81</v>
      </c>
      <c r="W205" s="373">
        <v>0</v>
      </c>
      <c r="X205" s="373">
        <v>0</v>
      </c>
      <c r="Y205" s="382">
        <v>0</v>
      </c>
    </row>
    <row r="206" spans="1:26" ht="13" thickBot="1" x14ac:dyDescent="0.3">
      <c r="A206" s="379" t="s">
        <v>119</v>
      </c>
      <c r="B206" s="374">
        <f t="shared" ref="B206:X206" si="49">(C205+B205)*(C204-B204)/2</f>
        <v>1.091299</v>
      </c>
      <c r="C206" s="375">
        <f t="shared" si="49"/>
        <v>2.3113915</v>
      </c>
      <c r="D206" s="375">
        <f t="shared" si="49"/>
        <v>5.2139160000000002</v>
      </c>
      <c r="E206" s="375">
        <f t="shared" si="49"/>
        <v>7.5427100000000005</v>
      </c>
      <c r="F206" s="375">
        <f t="shared" si="49"/>
        <v>29.172096000000003</v>
      </c>
      <c r="G206" s="375">
        <f t="shared" si="49"/>
        <v>6.8053720000000011</v>
      </c>
      <c r="H206" s="375">
        <f t="shared" si="49"/>
        <v>3.9840150000000034</v>
      </c>
      <c r="I206" s="375">
        <f t="shared" si="49"/>
        <v>4.2134424999999966</v>
      </c>
      <c r="J206" s="375">
        <f t="shared" si="49"/>
        <v>9.7349669999999975</v>
      </c>
      <c r="K206" s="375">
        <f t="shared" si="49"/>
        <v>35.373533000000009</v>
      </c>
      <c r="L206" s="375">
        <f t="shared" si="49"/>
        <v>10.181929999999998</v>
      </c>
      <c r="M206" s="375">
        <f t="shared" si="49"/>
        <v>4.8873239999999942</v>
      </c>
      <c r="N206" s="375">
        <f t="shared" si="49"/>
        <v>4.068654000000004</v>
      </c>
      <c r="O206" s="375">
        <f t="shared" si="49"/>
        <v>2.6094870000000019</v>
      </c>
      <c r="P206" s="375">
        <f t="shared" si="49"/>
        <v>2.0420909999999934</v>
      </c>
      <c r="Q206" s="375">
        <f t="shared" si="49"/>
        <v>2.791147500000009</v>
      </c>
      <c r="R206" s="375">
        <f t="shared" si="49"/>
        <v>2.5094939999999917</v>
      </c>
      <c r="S206" s="375">
        <f t="shared" si="49"/>
        <v>1.5920965000000056</v>
      </c>
      <c r="T206" s="375">
        <f t="shared" si="49"/>
        <v>1.9493999999999962</v>
      </c>
      <c r="U206" s="375">
        <f t="shared" si="49"/>
        <v>0.78007100000000074</v>
      </c>
      <c r="V206" s="375">
        <f t="shared" si="49"/>
        <v>0.56898000000000049</v>
      </c>
      <c r="W206" s="375">
        <f t="shared" si="49"/>
        <v>0</v>
      </c>
      <c r="X206" s="375">
        <f t="shared" si="49"/>
        <v>0</v>
      </c>
      <c r="Y206" s="369"/>
    </row>
    <row r="207" spans="1:26" ht="13.5" thickBot="1" x14ac:dyDescent="0.35">
      <c r="A207" s="6" t="s">
        <v>319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</row>
    <row r="208" spans="1:26" ht="13.5" thickBot="1" x14ac:dyDescent="0.35">
      <c r="A208" s="361" t="s">
        <v>379</v>
      </c>
      <c r="B208" s="359">
        <f>ROW(A208)</f>
        <v>208</v>
      </c>
      <c r="C208" s="363" t="s">
        <v>118</v>
      </c>
      <c r="D208" s="353">
        <f>SUM(B211:Y211)</f>
        <v>82.798500000000018</v>
      </c>
      <c r="E208" s="363" t="s">
        <v>117</v>
      </c>
      <c r="F208" s="354">
        <f>D208/g/J208</f>
        <v>131.87834480122325</v>
      </c>
      <c r="G208" s="363" t="s">
        <v>59</v>
      </c>
      <c r="H208" s="64">
        <v>0.152</v>
      </c>
      <c r="I208" s="363" t="s">
        <v>274</v>
      </c>
      <c r="J208" s="355">
        <f>H208-L208</f>
        <v>6.4000000000000001E-2</v>
      </c>
      <c r="K208" s="363" t="s">
        <v>275</v>
      </c>
      <c r="L208" s="64">
        <v>8.7999999999999995E-2</v>
      </c>
      <c r="M208" s="363" t="s">
        <v>60</v>
      </c>
      <c r="N208" s="65">
        <v>71</v>
      </c>
      <c r="O208" s="363" t="s">
        <v>62</v>
      </c>
      <c r="P208" s="65">
        <v>71</v>
      </c>
      <c r="Q208" s="363" t="s">
        <v>63</v>
      </c>
      <c r="R208" s="65">
        <v>142</v>
      </c>
      <c r="S208" s="363" t="s">
        <v>64</v>
      </c>
      <c r="T208" s="65">
        <v>29</v>
      </c>
      <c r="U208" s="363" t="s">
        <v>57</v>
      </c>
      <c r="V208" s="66" t="s">
        <v>122</v>
      </c>
      <c r="W208" s="463" t="s">
        <v>398</v>
      </c>
      <c r="X208" s="465">
        <v>0.96</v>
      </c>
      <c r="Y208" s="463" t="s">
        <v>397</v>
      </c>
      <c r="Z208" s="358">
        <v>11</v>
      </c>
    </row>
    <row r="209" spans="1:26" x14ac:dyDescent="0.25">
      <c r="A209" s="362" t="s">
        <v>33</v>
      </c>
      <c r="B209" s="370">
        <v>0</v>
      </c>
      <c r="C209" s="371">
        <v>0.02</v>
      </c>
      <c r="D209" s="371">
        <v>0.03</v>
      </c>
      <c r="E209" s="371">
        <v>0.04</v>
      </c>
      <c r="F209" s="371">
        <v>0.06</v>
      </c>
      <c r="G209" s="371">
        <v>0.08</v>
      </c>
      <c r="H209" s="371">
        <v>0.15</v>
      </c>
      <c r="I209" s="371">
        <v>0.18</v>
      </c>
      <c r="J209" s="371">
        <v>0.2</v>
      </c>
      <c r="K209" s="371">
        <v>0.3</v>
      </c>
      <c r="L209" s="371">
        <v>0.4</v>
      </c>
      <c r="M209" s="371">
        <v>0.5</v>
      </c>
      <c r="N209" s="371">
        <v>0.6</v>
      </c>
      <c r="O209" s="371">
        <v>0.7</v>
      </c>
      <c r="P209" s="371">
        <v>0.82</v>
      </c>
      <c r="Q209" s="371">
        <v>0.93</v>
      </c>
      <c r="R209" s="371">
        <v>1</v>
      </c>
      <c r="S209" s="371">
        <f t="shared" ref="S209:X210" si="50">R209</f>
        <v>1</v>
      </c>
      <c r="T209" s="371">
        <f t="shared" si="50"/>
        <v>1</v>
      </c>
      <c r="U209" s="371">
        <f t="shared" si="50"/>
        <v>1</v>
      </c>
      <c r="V209" s="371">
        <f t="shared" si="50"/>
        <v>1</v>
      </c>
      <c r="W209" s="371">
        <f t="shared" si="50"/>
        <v>1</v>
      </c>
      <c r="X209" s="371">
        <v>2</v>
      </c>
      <c r="Y209" s="381">
        <v>1000</v>
      </c>
    </row>
    <row r="210" spans="1:26" x14ac:dyDescent="0.25">
      <c r="A210" s="378" t="s">
        <v>34</v>
      </c>
      <c r="B210" s="372">
        <v>0</v>
      </c>
      <c r="C210" s="373">
        <v>41.9</v>
      </c>
      <c r="D210" s="373">
        <v>92.1</v>
      </c>
      <c r="E210" s="373">
        <v>116.7</v>
      </c>
      <c r="F210" s="373">
        <v>112.7</v>
      </c>
      <c r="G210" s="373">
        <v>82.7</v>
      </c>
      <c r="H210" s="373">
        <v>84.7</v>
      </c>
      <c r="I210" s="373">
        <v>86.2</v>
      </c>
      <c r="J210" s="373">
        <v>87.9</v>
      </c>
      <c r="K210" s="373">
        <v>90.9</v>
      </c>
      <c r="L210" s="373">
        <v>93.9</v>
      </c>
      <c r="M210" s="373">
        <v>95.3</v>
      </c>
      <c r="N210" s="373">
        <v>96.8</v>
      </c>
      <c r="O210" s="373">
        <v>97.6</v>
      </c>
      <c r="P210" s="373">
        <v>108.2</v>
      </c>
      <c r="Q210" s="373">
        <v>11</v>
      </c>
      <c r="R210" s="373">
        <v>0</v>
      </c>
      <c r="S210" s="373">
        <f t="shared" si="50"/>
        <v>0</v>
      </c>
      <c r="T210" s="373">
        <f t="shared" si="50"/>
        <v>0</v>
      </c>
      <c r="U210" s="373">
        <f t="shared" si="50"/>
        <v>0</v>
      </c>
      <c r="V210" s="373">
        <f t="shared" si="50"/>
        <v>0</v>
      </c>
      <c r="W210" s="373">
        <f t="shared" si="50"/>
        <v>0</v>
      </c>
      <c r="X210" s="373">
        <f t="shared" si="50"/>
        <v>0</v>
      </c>
      <c r="Y210" s="382">
        <v>0</v>
      </c>
    </row>
    <row r="211" spans="1:26" ht="13" thickBot="1" x14ac:dyDescent="0.3">
      <c r="A211" s="379" t="s">
        <v>119</v>
      </c>
      <c r="B211" s="374">
        <f t="shared" ref="B211:V211" si="51">(C210+B210)*(C209-B209)/2</f>
        <v>0.41899999999999998</v>
      </c>
      <c r="C211" s="375">
        <f t="shared" si="51"/>
        <v>0.66999999999999993</v>
      </c>
      <c r="D211" s="375">
        <f t="shared" si="51"/>
        <v>1.0440000000000003</v>
      </c>
      <c r="E211" s="375">
        <f t="shared" si="51"/>
        <v>2.2939999999999996</v>
      </c>
      <c r="F211" s="375">
        <f t="shared" si="51"/>
        <v>1.9540000000000004</v>
      </c>
      <c r="G211" s="375">
        <f t="shared" si="51"/>
        <v>5.859</v>
      </c>
      <c r="H211" s="375">
        <f t="shared" si="51"/>
        <v>2.5634999999999999</v>
      </c>
      <c r="I211" s="375">
        <f t="shared" si="51"/>
        <v>1.7410000000000019</v>
      </c>
      <c r="J211" s="375">
        <f>(K210+J210)*(K209-J209)/2</f>
        <v>8.9399999999999977</v>
      </c>
      <c r="K211" s="375">
        <f t="shared" si="51"/>
        <v>9.2400000000000038</v>
      </c>
      <c r="L211" s="375">
        <f t="shared" si="51"/>
        <v>9.4599999999999973</v>
      </c>
      <c r="M211" s="375">
        <f t="shared" si="51"/>
        <v>9.6049999999999969</v>
      </c>
      <c r="N211" s="375">
        <f t="shared" si="51"/>
        <v>9.7199999999999971</v>
      </c>
      <c r="O211" s="375">
        <f t="shared" si="51"/>
        <v>12.348000000000001</v>
      </c>
      <c r="P211" s="375">
        <f t="shared" si="51"/>
        <v>6.5560000000000063</v>
      </c>
      <c r="Q211" s="375">
        <f t="shared" si="51"/>
        <v>0.38499999999999973</v>
      </c>
      <c r="R211" s="375">
        <f t="shared" si="51"/>
        <v>0</v>
      </c>
      <c r="S211" s="375">
        <f>(T210+S210)*(T209-S209)/2</f>
        <v>0</v>
      </c>
      <c r="T211" s="375">
        <f t="shared" si="51"/>
        <v>0</v>
      </c>
      <c r="U211" s="375">
        <f t="shared" si="51"/>
        <v>0</v>
      </c>
      <c r="V211" s="375">
        <f t="shared" si="51"/>
        <v>0</v>
      </c>
      <c r="W211" s="375">
        <f>(X210+W210)*(X209-W209)/2</f>
        <v>0</v>
      </c>
      <c r="X211" s="375">
        <f>(Y210+X210)*(Y209-X209)/2</f>
        <v>0</v>
      </c>
      <c r="Y211" s="369"/>
    </row>
    <row r="212" spans="1:26" ht="13" thickBot="1" x14ac:dyDescent="0.3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</row>
    <row r="213" spans="1:26" ht="13.5" thickBot="1" x14ac:dyDescent="0.35">
      <c r="A213" s="361" t="s">
        <v>380</v>
      </c>
      <c r="B213" s="359">
        <f>ROW(A213)</f>
        <v>213</v>
      </c>
      <c r="C213" s="363" t="s">
        <v>118</v>
      </c>
      <c r="D213" s="353">
        <f>SUM(B216:Y216)</f>
        <v>98.257101163036367</v>
      </c>
      <c r="E213" s="363" t="s">
        <v>117</v>
      </c>
      <c r="F213" s="354">
        <f>D213/g/J213</f>
        <v>177.58890761893778</v>
      </c>
      <c r="G213" s="363" t="s">
        <v>59</v>
      </c>
      <c r="H213" s="64">
        <v>0.14319999999999999</v>
      </c>
      <c r="I213" s="363" t="s">
        <v>274</v>
      </c>
      <c r="J213" s="355">
        <f>H213-L213</f>
        <v>5.6399999999999992E-2</v>
      </c>
      <c r="K213" s="363" t="s">
        <v>275</v>
      </c>
      <c r="L213" s="64">
        <v>8.6800000000000002E-2</v>
      </c>
      <c r="M213" s="363" t="s">
        <v>60</v>
      </c>
      <c r="N213" s="65">
        <v>71</v>
      </c>
      <c r="O213" s="363" t="s">
        <v>62</v>
      </c>
      <c r="P213" s="65">
        <v>71</v>
      </c>
      <c r="Q213" s="363" t="s">
        <v>63</v>
      </c>
      <c r="R213" s="65">
        <v>142</v>
      </c>
      <c r="S213" s="363" t="s">
        <v>64</v>
      </c>
      <c r="T213" s="65">
        <v>29</v>
      </c>
      <c r="U213" s="363" t="s">
        <v>57</v>
      </c>
      <c r="V213" s="66" t="s">
        <v>122</v>
      </c>
      <c r="W213" s="463" t="s">
        <v>398</v>
      </c>
      <c r="X213" s="465">
        <v>1.1499999999999999</v>
      </c>
      <c r="Y213" s="463" t="s">
        <v>397</v>
      </c>
      <c r="Z213" s="358">
        <v>14</v>
      </c>
    </row>
    <row r="214" spans="1:26" x14ac:dyDescent="0.25">
      <c r="A214" s="362" t="s">
        <v>33</v>
      </c>
      <c r="B214" s="370">
        <v>0</v>
      </c>
      <c r="C214" s="371">
        <v>1.4999999999999999E-2</v>
      </c>
      <c r="D214" s="371">
        <v>0.03</v>
      </c>
      <c r="E214" s="371">
        <v>4.4999999999999998E-2</v>
      </c>
      <c r="F214" s="371">
        <v>0.06</v>
      </c>
      <c r="G214" s="371">
        <v>7.4999999999999997E-2</v>
      </c>
      <c r="H214" s="371">
        <v>0.09</v>
      </c>
      <c r="I214" s="371">
        <v>0.105</v>
      </c>
      <c r="J214" s="371">
        <v>0.12</v>
      </c>
      <c r="K214" s="371">
        <v>0.18</v>
      </c>
      <c r="L214" s="371">
        <v>0.24</v>
      </c>
      <c r="M214" s="371">
        <v>0.3</v>
      </c>
      <c r="N214" s="371">
        <v>0.48</v>
      </c>
      <c r="O214" s="371">
        <v>0.6</v>
      </c>
      <c r="P214" s="371">
        <v>0.66</v>
      </c>
      <c r="Q214" s="371">
        <v>0.72</v>
      </c>
      <c r="R214" s="371">
        <v>0.78</v>
      </c>
      <c r="S214" s="371">
        <v>0.84</v>
      </c>
      <c r="T214" s="371">
        <v>0.9</v>
      </c>
      <c r="U214" s="371">
        <v>0.96</v>
      </c>
      <c r="V214" s="371">
        <v>1.0349999999999999</v>
      </c>
      <c r="W214" s="371">
        <v>1.2</v>
      </c>
      <c r="X214" s="371">
        <v>2</v>
      </c>
      <c r="Y214" s="381">
        <v>1000</v>
      </c>
    </row>
    <row r="215" spans="1:26" x14ac:dyDescent="0.25">
      <c r="A215" s="378" t="s">
        <v>34</v>
      </c>
      <c r="B215" s="372">
        <v>0</v>
      </c>
      <c r="C215" s="376">
        <v>99.328788958822486</v>
      </c>
      <c r="D215" s="376">
        <v>109.07039432469</v>
      </c>
      <c r="E215" s="376">
        <v>65.255411286427503</v>
      </c>
      <c r="F215" s="376">
        <v>67.568486533117493</v>
      </c>
      <c r="G215" s="376">
        <v>73.929443461515007</v>
      </c>
      <c r="H215" s="376">
        <v>74.329783408057494</v>
      </c>
      <c r="I215" s="376">
        <v>78.1552540083525</v>
      </c>
      <c r="J215" s="376">
        <v>78.600076171177506</v>
      </c>
      <c r="K215" s="376">
        <v>82.203135690059995</v>
      </c>
      <c r="L215" s="376">
        <v>84.516210936749999</v>
      </c>
      <c r="M215" s="376">
        <v>88.51961040217499</v>
      </c>
      <c r="N215" s="376">
        <v>95.102978411984992</v>
      </c>
      <c r="O215" s="376">
        <v>95.547800574809997</v>
      </c>
      <c r="P215" s="376">
        <v>94.480227384029988</v>
      </c>
      <c r="Q215" s="376">
        <v>92.122669921057494</v>
      </c>
      <c r="R215" s="376">
        <v>90.743721216299988</v>
      </c>
      <c r="S215" s="376">
        <v>88.964432564999996</v>
      </c>
      <c r="T215" s="376">
        <v>85.405855262399996</v>
      </c>
      <c r="U215" s="376">
        <v>83.448637745970004</v>
      </c>
      <c r="V215" s="376">
        <v>88.074788239349999</v>
      </c>
      <c r="W215" s="376">
        <v>0</v>
      </c>
      <c r="X215" s="373">
        <v>0</v>
      </c>
      <c r="Y215" s="382">
        <v>0</v>
      </c>
    </row>
    <row r="216" spans="1:26" ht="13" thickBot="1" x14ac:dyDescent="0.3">
      <c r="A216" s="379" t="s">
        <v>119</v>
      </c>
      <c r="B216" s="374">
        <f t="shared" ref="B216:V216" si="52">(C215+B215)*(C214-B214)/2</f>
        <v>0.74496591719116867</v>
      </c>
      <c r="C216" s="375">
        <f t="shared" si="52"/>
        <v>1.5629938746263436</v>
      </c>
      <c r="D216" s="375">
        <f t="shared" si="52"/>
        <v>1.3074435420833814</v>
      </c>
      <c r="E216" s="375">
        <f t="shared" si="52"/>
        <v>0.99617923364658734</v>
      </c>
      <c r="F216" s="375">
        <f t="shared" si="52"/>
        <v>1.0612344749597438</v>
      </c>
      <c r="G216" s="375">
        <f t="shared" si="52"/>
        <v>1.1119442015217937</v>
      </c>
      <c r="H216" s="375">
        <f t="shared" si="52"/>
        <v>1.1436377806230749</v>
      </c>
      <c r="I216" s="375">
        <f t="shared" si="52"/>
        <v>1.175664976346475</v>
      </c>
      <c r="J216" s="375">
        <f>(K215+J215)*(K214-J214)/2</f>
        <v>4.824096355837125</v>
      </c>
      <c r="K216" s="375">
        <f t="shared" si="52"/>
        <v>5.0015803988042995</v>
      </c>
      <c r="L216" s="375">
        <f t="shared" si="52"/>
        <v>5.1910746401677494</v>
      </c>
      <c r="M216" s="375">
        <f t="shared" si="52"/>
        <v>16.526032993274399</v>
      </c>
      <c r="N216" s="375">
        <f t="shared" si="52"/>
        <v>11.439046739207699</v>
      </c>
      <c r="O216" s="375">
        <f t="shared" si="52"/>
        <v>5.7008408387652043</v>
      </c>
      <c r="P216" s="375">
        <f t="shared" si="52"/>
        <v>5.5980869191526192</v>
      </c>
      <c r="Q216" s="375">
        <f t="shared" si="52"/>
        <v>5.4859917341207289</v>
      </c>
      <c r="R216" s="375">
        <f t="shared" si="52"/>
        <v>5.3912446134389942</v>
      </c>
      <c r="S216" s="375">
        <f>(T215+S215)*(T214-S214)/2</f>
        <v>5.2311086348220037</v>
      </c>
      <c r="T216" s="375">
        <f t="shared" si="52"/>
        <v>5.0656347902510959</v>
      </c>
      <c r="U216" s="375">
        <f t="shared" si="52"/>
        <v>6.4321284744494962</v>
      </c>
      <c r="V216" s="375">
        <f t="shared" si="52"/>
        <v>7.2661700297463767</v>
      </c>
      <c r="W216" s="375">
        <f>(X215+W215)*(X214-W214)/2</f>
        <v>0</v>
      </c>
      <c r="X216" s="375">
        <f>(Y215+X215)*(Y214-X214)/2</f>
        <v>0</v>
      </c>
      <c r="Y216" s="369"/>
    </row>
    <row r="217" spans="1:26" ht="13" thickBot="1" x14ac:dyDescent="0.3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</row>
    <row r="218" spans="1:26" ht="13.5" thickBot="1" x14ac:dyDescent="0.35">
      <c r="A218" s="361" t="s">
        <v>381</v>
      </c>
      <c r="B218" s="359">
        <f>ROW(A218)</f>
        <v>218</v>
      </c>
      <c r="C218" s="363" t="s">
        <v>118</v>
      </c>
      <c r="D218" s="353">
        <f>SUM(B221:Y221)</f>
        <v>109.60639850000001</v>
      </c>
      <c r="E218" s="363" t="s">
        <v>117</v>
      </c>
      <c r="F218" s="354">
        <f>D218/g/J218</f>
        <v>194.31174666489383</v>
      </c>
      <c r="G218" s="363" t="s">
        <v>59</v>
      </c>
      <c r="H218" s="64">
        <v>0.14130000000000001</v>
      </c>
      <c r="I218" s="363" t="s">
        <v>274</v>
      </c>
      <c r="J218" s="355">
        <f>H218-L218</f>
        <v>5.7500000000000009E-2</v>
      </c>
      <c r="K218" s="363" t="s">
        <v>275</v>
      </c>
      <c r="L218" s="64">
        <v>8.3799999999999999E-2</v>
      </c>
      <c r="M218" s="363" t="s">
        <v>60</v>
      </c>
      <c r="N218" s="65">
        <v>71</v>
      </c>
      <c r="O218" s="363" t="s">
        <v>62</v>
      </c>
      <c r="P218" s="65">
        <v>71</v>
      </c>
      <c r="Q218" s="363" t="s">
        <v>63</v>
      </c>
      <c r="R218" s="65">
        <v>142</v>
      </c>
      <c r="S218" s="363" t="s">
        <v>64</v>
      </c>
      <c r="T218" s="65">
        <v>29</v>
      </c>
      <c r="U218" s="363" t="s">
        <v>57</v>
      </c>
      <c r="V218" s="66" t="s">
        <v>405</v>
      </c>
      <c r="W218" s="463" t="s">
        <v>398</v>
      </c>
      <c r="X218" s="465">
        <v>0.45</v>
      </c>
      <c r="Y218" s="463" t="s">
        <v>397</v>
      </c>
      <c r="Z218" s="358">
        <v>14</v>
      </c>
    </row>
    <row r="219" spans="1:26" x14ac:dyDescent="0.25">
      <c r="A219" s="362" t="s">
        <v>33</v>
      </c>
      <c r="B219" s="370">
        <v>0</v>
      </c>
      <c r="C219" s="371">
        <v>6.0000000000000001E-3</v>
      </c>
      <c r="D219" s="371">
        <v>1.0999999999999999E-2</v>
      </c>
      <c r="E219" s="371">
        <v>1.6E-2</v>
      </c>
      <c r="F219" s="371">
        <v>3.1E-2</v>
      </c>
      <c r="G219" s="371">
        <v>7.4999999999999997E-2</v>
      </c>
      <c r="H219" s="371">
        <v>0.122</v>
      </c>
      <c r="I219" s="371">
        <v>0.216</v>
      </c>
      <c r="J219" s="371">
        <v>0.25</v>
      </c>
      <c r="K219" s="371">
        <v>0.28699999999999998</v>
      </c>
      <c r="L219" s="371">
        <v>0.35399999999999998</v>
      </c>
      <c r="M219" s="371">
        <v>0.374</v>
      </c>
      <c r="N219" s="371">
        <v>0.4</v>
      </c>
      <c r="O219" s="371">
        <v>0.41299999999999998</v>
      </c>
      <c r="P219" s="371">
        <v>0.42</v>
      </c>
      <c r="Q219" s="371">
        <v>0.433</v>
      </c>
      <c r="R219" s="371">
        <v>0.44500000000000001</v>
      </c>
      <c r="S219" s="371">
        <v>0.45400000000000001</v>
      </c>
      <c r="T219" s="371">
        <f t="shared" ref="T219:X220" si="53">S219</f>
        <v>0.45400000000000001</v>
      </c>
      <c r="U219" s="371">
        <f t="shared" si="53"/>
        <v>0.45400000000000001</v>
      </c>
      <c r="V219" s="371">
        <f t="shared" si="53"/>
        <v>0.45400000000000001</v>
      </c>
      <c r="W219" s="371">
        <f t="shared" si="53"/>
        <v>0.45400000000000001</v>
      </c>
      <c r="X219" s="371">
        <v>2</v>
      </c>
      <c r="Y219" s="381">
        <v>1000</v>
      </c>
    </row>
    <row r="220" spans="1:26" x14ac:dyDescent="0.25">
      <c r="A220" s="378" t="s">
        <v>34</v>
      </c>
      <c r="B220" s="372">
        <v>0</v>
      </c>
      <c r="C220" s="373">
        <v>151.62100000000001</v>
      </c>
      <c r="D220" s="373">
        <v>198.07900000000001</v>
      </c>
      <c r="E220" s="373">
        <v>203.12100000000001</v>
      </c>
      <c r="F220" s="373">
        <v>201.68100000000001</v>
      </c>
      <c r="G220" s="373">
        <v>226.17</v>
      </c>
      <c r="H220" s="373">
        <v>250.3</v>
      </c>
      <c r="I220" s="373">
        <v>280.19200000000001</v>
      </c>
      <c r="J220" s="373">
        <v>287.03500000000003</v>
      </c>
      <c r="K220" s="373">
        <v>284.87400000000002</v>
      </c>
      <c r="L220" s="373">
        <v>269.74799999999999</v>
      </c>
      <c r="M220" s="373">
        <v>258.58300000000003</v>
      </c>
      <c r="N220" s="373">
        <v>233.37299999999999</v>
      </c>
      <c r="O220" s="373">
        <v>234.09399999999999</v>
      </c>
      <c r="P220" s="373">
        <v>227.61099999999999</v>
      </c>
      <c r="Q220" s="373">
        <v>137.935</v>
      </c>
      <c r="R220" s="373">
        <v>33.853999999999999</v>
      </c>
      <c r="S220" s="373">
        <v>0</v>
      </c>
      <c r="T220" s="373">
        <f t="shared" si="53"/>
        <v>0</v>
      </c>
      <c r="U220" s="373">
        <f t="shared" si="53"/>
        <v>0</v>
      </c>
      <c r="V220" s="373">
        <f t="shared" si="53"/>
        <v>0</v>
      </c>
      <c r="W220" s="373">
        <f t="shared" si="53"/>
        <v>0</v>
      </c>
      <c r="X220" s="373">
        <f t="shared" si="53"/>
        <v>0</v>
      </c>
      <c r="Y220" s="382">
        <v>0</v>
      </c>
    </row>
    <row r="221" spans="1:26" ht="13" thickBot="1" x14ac:dyDescent="0.3">
      <c r="A221" s="379" t="s">
        <v>119</v>
      </c>
      <c r="B221" s="374">
        <f t="shared" ref="B221:X221" si="54">(C220+B220)*(C219-B219)/2</f>
        <v>0.45486300000000002</v>
      </c>
      <c r="C221" s="375">
        <f t="shared" si="54"/>
        <v>0.87424999999999997</v>
      </c>
      <c r="D221" s="375">
        <f t="shared" si="54"/>
        <v>1.0030000000000003</v>
      </c>
      <c r="E221" s="375">
        <f t="shared" si="54"/>
        <v>3.0360149999999999</v>
      </c>
      <c r="F221" s="375">
        <f t="shared" si="54"/>
        <v>9.4127219999999987</v>
      </c>
      <c r="G221" s="375">
        <f t="shared" si="54"/>
        <v>11.197045000000001</v>
      </c>
      <c r="H221" s="375">
        <f t="shared" si="54"/>
        <v>24.933123999999999</v>
      </c>
      <c r="I221" s="375">
        <f t="shared" si="54"/>
        <v>9.6428590000000014</v>
      </c>
      <c r="J221" s="375">
        <f t="shared" si="54"/>
        <v>10.580316499999995</v>
      </c>
      <c r="K221" s="375">
        <f t="shared" si="54"/>
        <v>18.579837000000005</v>
      </c>
      <c r="L221" s="375">
        <f t="shared" si="54"/>
        <v>5.2833100000000046</v>
      </c>
      <c r="M221" s="375">
        <f t="shared" si="54"/>
        <v>6.3954280000000061</v>
      </c>
      <c r="N221" s="375">
        <f t="shared" si="54"/>
        <v>3.0385354999999898</v>
      </c>
      <c r="O221" s="375">
        <f t="shared" si="54"/>
        <v>1.6159675000000013</v>
      </c>
      <c r="P221" s="375">
        <f t="shared" si="54"/>
        <v>2.3760490000000019</v>
      </c>
      <c r="Q221" s="375">
        <f t="shared" si="54"/>
        <v>1.0307340000000009</v>
      </c>
      <c r="R221" s="375">
        <f t="shared" si="54"/>
        <v>0.15234300000000014</v>
      </c>
      <c r="S221" s="375">
        <f t="shared" si="54"/>
        <v>0</v>
      </c>
      <c r="T221" s="375">
        <f t="shared" si="54"/>
        <v>0</v>
      </c>
      <c r="U221" s="375">
        <f t="shared" si="54"/>
        <v>0</v>
      </c>
      <c r="V221" s="375">
        <f t="shared" si="54"/>
        <v>0</v>
      </c>
      <c r="W221" s="375">
        <f t="shared" si="54"/>
        <v>0</v>
      </c>
      <c r="X221" s="375">
        <f t="shared" si="54"/>
        <v>0</v>
      </c>
      <c r="Y221" s="369"/>
    </row>
    <row r="222" spans="1:26" ht="13" thickBot="1" x14ac:dyDescent="0.3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</row>
    <row r="223" spans="1:26" ht="13.5" thickBot="1" x14ac:dyDescent="0.35">
      <c r="A223" s="361" t="s">
        <v>382</v>
      </c>
      <c r="B223" s="359">
        <f>ROW(A223)</f>
        <v>223</v>
      </c>
      <c r="C223" s="363" t="s">
        <v>118</v>
      </c>
      <c r="D223" s="353">
        <f>SUM(B226:Y226)</f>
        <v>115.63</v>
      </c>
      <c r="E223" s="363" t="s">
        <v>117</v>
      </c>
      <c r="F223" s="354">
        <f>D223/g/J223</f>
        <v>199.77884897804037</v>
      </c>
      <c r="G223" s="363" t="s">
        <v>59</v>
      </c>
      <c r="H223" s="64">
        <v>0.14499999999999999</v>
      </c>
      <c r="I223" s="363" t="s">
        <v>274</v>
      </c>
      <c r="J223" s="355">
        <f>H223-L223</f>
        <v>5.8999999999999997E-2</v>
      </c>
      <c r="K223" s="363" t="s">
        <v>275</v>
      </c>
      <c r="L223" s="64">
        <v>8.5999999999999993E-2</v>
      </c>
      <c r="M223" s="363" t="s">
        <v>60</v>
      </c>
      <c r="N223" s="65">
        <v>71</v>
      </c>
      <c r="O223" s="363" t="s">
        <v>62</v>
      </c>
      <c r="P223" s="65">
        <v>71</v>
      </c>
      <c r="Q223" s="363" t="s">
        <v>63</v>
      </c>
      <c r="R223" s="65">
        <v>142</v>
      </c>
      <c r="S223" s="363" t="s">
        <v>64</v>
      </c>
      <c r="T223" s="65">
        <v>29</v>
      </c>
      <c r="U223" s="363" t="s">
        <v>57</v>
      </c>
      <c r="V223" s="66" t="s">
        <v>122</v>
      </c>
      <c r="W223" s="463" t="s">
        <v>398</v>
      </c>
      <c r="X223" s="465">
        <v>0.93</v>
      </c>
      <c r="Y223" s="463" t="s">
        <v>397</v>
      </c>
      <c r="Z223" s="358">
        <v>13</v>
      </c>
    </row>
    <row r="224" spans="1:26" x14ac:dyDescent="0.25">
      <c r="A224" s="362" t="s">
        <v>33</v>
      </c>
      <c r="B224" s="370">
        <v>0</v>
      </c>
      <c r="C224" s="371">
        <v>0.01</v>
      </c>
      <c r="D224" s="371">
        <v>0.02</v>
      </c>
      <c r="E224" s="371">
        <v>0.03</v>
      </c>
      <c r="F224" s="371">
        <v>0.04</v>
      </c>
      <c r="G224" s="371">
        <v>0.05</v>
      </c>
      <c r="H224" s="371">
        <v>0.1</v>
      </c>
      <c r="I224" s="371">
        <v>0.2</v>
      </c>
      <c r="J224" s="371">
        <v>0.3</v>
      </c>
      <c r="K224" s="371">
        <v>0.4</v>
      </c>
      <c r="L224" s="371">
        <v>0.6</v>
      </c>
      <c r="M224" s="371">
        <v>0.75</v>
      </c>
      <c r="N224" s="371">
        <v>0.81</v>
      </c>
      <c r="O224" s="371">
        <v>0.86</v>
      </c>
      <c r="P224" s="371">
        <v>0.9</v>
      </c>
      <c r="Q224" s="371">
        <v>0.95</v>
      </c>
      <c r="R224" s="371">
        <v>1</v>
      </c>
      <c r="S224" s="371">
        <v>1</v>
      </c>
      <c r="T224" s="371">
        <v>1</v>
      </c>
      <c r="U224" s="371">
        <v>1</v>
      </c>
      <c r="V224" s="371">
        <v>1</v>
      </c>
      <c r="W224" s="371">
        <v>1</v>
      </c>
      <c r="X224" s="371">
        <v>2</v>
      </c>
      <c r="Y224" s="381">
        <v>1000</v>
      </c>
    </row>
    <row r="225" spans="1:26" x14ac:dyDescent="0.25">
      <c r="A225" s="378" t="s">
        <v>34</v>
      </c>
      <c r="B225" s="372">
        <v>0</v>
      </c>
      <c r="C225" s="376">
        <v>55</v>
      </c>
      <c r="D225" s="376">
        <v>168</v>
      </c>
      <c r="E225" s="376">
        <v>157</v>
      </c>
      <c r="F225" s="376">
        <v>148</v>
      </c>
      <c r="G225" s="376">
        <v>125</v>
      </c>
      <c r="H225" s="376">
        <v>135</v>
      </c>
      <c r="I225" s="376">
        <v>141</v>
      </c>
      <c r="J225" s="376">
        <v>142</v>
      </c>
      <c r="K225" s="376">
        <v>141</v>
      </c>
      <c r="L225" s="376">
        <v>133</v>
      </c>
      <c r="M225" s="376">
        <v>127</v>
      </c>
      <c r="N225" s="376">
        <v>128</v>
      </c>
      <c r="O225" s="376">
        <v>60</v>
      </c>
      <c r="P225" s="376">
        <v>15</v>
      </c>
      <c r="Q225" s="376">
        <v>0</v>
      </c>
      <c r="R225" s="376">
        <v>0</v>
      </c>
      <c r="S225" s="376">
        <v>0</v>
      </c>
      <c r="T225" s="376">
        <v>0</v>
      </c>
      <c r="U225" s="376">
        <v>0</v>
      </c>
      <c r="V225" s="376">
        <v>0</v>
      </c>
      <c r="W225" s="376">
        <v>0</v>
      </c>
      <c r="X225" s="373">
        <v>0</v>
      </c>
      <c r="Y225" s="382">
        <v>0</v>
      </c>
    </row>
    <row r="226" spans="1:26" ht="13" thickBot="1" x14ac:dyDescent="0.3">
      <c r="A226" s="379" t="s">
        <v>119</v>
      </c>
      <c r="B226" s="374">
        <f t="shared" ref="B226:X226" si="55">(C225+B225)*(C224-B224)/2</f>
        <v>0.27500000000000002</v>
      </c>
      <c r="C226" s="375">
        <f t="shared" si="55"/>
        <v>1.115</v>
      </c>
      <c r="D226" s="375">
        <f t="shared" si="55"/>
        <v>1.6249999999999998</v>
      </c>
      <c r="E226" s="375">
        <f t="shared" si="55"/>
        <v>1.5250000000000004</v>
      </c>
      <c r="F226" s="375">
        <f t="shared" si="55"/>
        <v>1.3650000000000002</v>
      </c>
      <c r="G226" s="375">
        <f t="shared" si="55"/>
        <v>6.5</v>
      </c>
      <c r="H226" s="375">
        <f t="shared" si="55"/>
        <v>13.8</v>
      </c>
      <c r="I226" s="375">
        <f t="shared" si="55"/>
        <v>14.149999999999997</v>
      </c>
      <c r="J226" s="375">
        <f t="shared" si="55"/>
        <v>14.150000000000004</v>
      </c>
      <c r="K226" s="375">
        <f t="shared" si="55"/>
        <v>27.399999999999995</v>
      </c>
      <c r="L226" s="375">
        <f t="shared" si="55"/>
        <v>19.500000000000004</v>
      </c>
      <c r="M226" s="375">
        <f t="shared" si="55"/>
        <v>7.6500000000000066</v>
      </c>
      <c r="N226" s="375">
        <f t="shared" si="55"/>
        <v>4.699999999999994</v>
      </c>
      <c r="O226" s="375">
        <f t="shared" si="55"/>
        <v>1.5000000000000013</v>
      </c>
      <c r="P226" s="375">
        <f t="shared" si="55"/>
        <v>0.3749999999999995</v>
      </c>
      <c r="Q226" s="375">
        <f t="shared" si="55"/>
        <v>0</v>
      </c>
      <c r="R226" s="375">
        <f t="shared" si="55"/>
        <v>0</v>
      </c>
      <c r="S226" s="375">
        <f t="shared" si="55"/>
        <v>0</v>
      </c>
      <c r="T226" s="375">
        <f t="shared" si="55"/>
        <v>0</v>
      </c>
      <c r="U226" s="375">
        <f t="shared" si="55"/>
        <v>0</v>
      </c>
      <c r="V226" s="375">
        <f t="shared" si="55"/>
        <v>0</v>
      </c>
      <c r="W226" s="375">
        <f t="shared" si="55"/>
        <v>0</v>
      </c>
      <c r="X226" s="375">
        <f t="shared" si="55"/>
        <v>0</v>
      </c>
      <c r="Y226" s="369"/>
    </row>
    <row r="227" spans="1:26" ht="13.5" thickBot="1" x14ac:dyDescent="0.35">
      <c r="A227" s="6" t="s">
        <v>390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</row>
    <row r="228" spans="1:26" ht="13.5" thickBot="1" x14ac:dyDescent="0.35">
      <c r="A228" s="361" t="s">
        <v>391</v>
      </c>
      <c r="B228" s="359">
        <f>ROW(A228)</f>
        <v>228</v>
      </c>
      <c r="C228" s="363" t="s">
        <v>118</v>
      </c>
      <c r="D228" s="353">
        <f>SUM(B231:Y231)</f>
        <v>115.63</v>
      </c>
      <c r="E228" s="363" t="s">
        <v>117</v>
      </c>
      <c r="F228" s="354">
        <f>D228/g/J228</f>
        <v>125.39310733728064</v>
      </c>
      <c r="G228" s="363" t="s">
        <v>59</v>
      </c>
      <c r="H228" s="64">
        <v>0.2</v>
      </c>
      <c r="I228" s="363" t="s">
        <v>274</v>
      </c>
      <c r="J228" s="355">
        <f>H228-L228</f>
        <v>9.4000000000000014E-2</v>
      </c>
      <c r="K228" s="363" t="s">
        <v>275</v>
      </c>
      <c r="L228" s="64">
        <v>0.106</v>
      </c>
      <c r="M228" s="363" t="s">
        <v>60</v>
      </c>
      <c r="N228" s="65">
        <v>93</v>
      </c>
      <c r="O228" s="363" t="s">
        <v>62</v>
      </c>
      <c r="P228" s="65">
        <v>93</v>
      </c>
      <c r="Q228" s="363" t="s">
        <v>63</v>
      </c>
      <c r="R228" s="65">
        <v>187</v>
      </c>
      <c r="S228" s="363" t="s">
        <v>64</v>
      </c>
      <c r="T228" s="65">
        <v>29</v>
      </c>
      <c r="U228" s="363" t="s">
        <v>57</v>
      </c>
      <c r="V228" s="66" t="s">
        <v>122</v>
      </c>
      <c r="W228" s="463" t="s">
        <v>398</v>
      </c>
      <c r="X228" s="465">
        <v>0.96</v>
      </c>
      <c r="Y228" s="463" t="s">
        <v>397</v>
      </c>
      <c r="Z228" s="358">
        <v>14</v>
      </c>
    </row>
    <row r="229" spans="1:26" x14ac:dyDescent="0.25">
      <c r="A229" s="362" t="s">
        <v>33</v>
      </c>
      <c r="B229" s="370">
        <v>0</v>
      </c>
      <c r="C229" s="371">
        <v>0.01</v>
      </c>
      <c r="D229" s="371">
        <v>0.02</v>
      </c>
      <c r="E229" s="371">
        <v>0.03</v>
      </c>
      <c r="F229" s="371">
        <v>0.04</v>
      </c>
      <c r="G229" s="371">
        <v>0.05</v>
      </c>
      <c r="H229" s="371">
        <v>0.1</v>
      </c>
      <c r="I229" s="371">
        <v>0.2</v>
      </c>
      <c r="J229" s="371">
        <v>0.3</v>
      </c>
      <c r="K229" s="371">
        <v>0.4</v>
      </c>
      <c r="L229" s="371">
        <v>0.6</v>
      </c>
      <c r="M229" s="371">
        <v>0.75</v>
      </c>
      <c r="N229" s="371">
        <v>0.81</v>
      </c>
      <c r="O229" s="371">
        <v>0.86</v>
      </c>
      <c r="P229" s="371">
        <v>0.9</v>
      </c>
      <c r="Q229" s="371">
        <v>0.95</v>
      </c>
      <c r="R229" s="371">
        <v>1</v>
      </c>
      <c r="S229" s="371">
        <f t="shared" ref="S229:X230" si="56">R229</f>
        <v>1</v>
      </c>
      <c r="T229" s="371">
        <f t="shared" si="56"/>
        <v>1</v>
      </c>
      <c r="U229" s="371">
        <f t="shared" si="56"/>
        <v>1</v>
      </c>
      <c r="V229" s="371">
        <f t="shared" si="56"/>
        <v>1</v>
      </c>
      <c r="W229" s="371">
        <f t="shared" si="56"/>
        <v>1</v>
      </c>
      <c r="X229" s="371">
        <v>2</v>
      </c>
      <c r="Y229" s="381">
        <v>1000</v>
      </c>
    </row>
    <row r="230" spans="1:26" x14ac:dyDescent="0.25">
      <c r="A230" s="378" t="s">
        <v>34</v>
      </c>
      <c r="B230" s="372">
        <v>0</v>
      </c>
      <c r="C230" s="373">
        <v>55</v>
      </c>
      <c r="D230" s="373">
        <v>168</v>
      </c>
      <c r="E230" s="373">
        <v>157</v>
      </c>
      <c r="F230" s="373">
        <v>148</v>
      </c>
      <c r="G230" s="373">
        <v>125</v>
      </c>
      <c r="H230" s="373">
        <v>135</v>
      </c>
      <c r="I230" s="373">
        <v>141</v>
      </c>
      <c r="J230" s="373">
        <v>142</v>
      </c>
      <c r="K230" s="373">
        <v>141</v>
      </c>
      <c r="L230" s="373">
        <v>133</v>
      </c>
      <c r="M230" s="373">
        <v>127</v>
      </c>
      <c r="N230" s="373">
        <v>128</v>
      </c>
      <c r="O230" s="373">
        <v>60</v>
      </c>
      <c r="P230" s="373">
        <v>15</v>
      </c>
      <c r="Q230" s="373">
        <v>0</v>
      </c>
      <c r="R230" s="373">
        <v>0</v>
      </c>
      <c r="S230" s="373">
        <f t="shared" si="56"/>
        <v>0</v>
      </c>
      <c r="T230" s="373">
        <f t="shared" si="56"/>
        <v>0</v>
      </c>
      <c r="U230" s="373">
        <f t="shared" si="56"/>
        <v>0</v>
      </c>
      <c r="V230" s="373">
        <f t="shared" si="56"/>
        <v>0</v>
      </c>
      <c r="W230" s="373">
        <f t="shared" si="56"/>
        <v>0</v>
      </c>
      <c r="X230" s="373">
        <f t="shared" si="56"/>
        <v>0</v>
      </c>
      <c r="Y230" s="382">
        <v>0</v>
      </c>
    </row>
    <row r="231" spans="1:26" ht="13" thickBot="1" x14ac:dyDescent="0.3">
      <c r="A231" s="379" t="s">
        <v>119</v>
      </c>
      <c r="B231" s="374">
        <f t="shared" ref="B231:X231" si="57">(C230+B230)*(C229-B229)/2</f>
        <v>0.27500000000000002</v>
      </c>
      <c r="C231" s="375">
        <f t="shared" si="57"/>
        <v>1.115</v>
      </c>
      <c r="D231" s="375">
        <f t="shared" si="57"/>
        <v>1.6249999999999998</v>
      </c>
      <c r="E231" s="375">
        <f t="shared" si="57"/>
        <v>1.5250000000000004</v>
      </c>
      <c r="F231" s="375">
        <f t="shared" si="57"/>
        <v>1.3650000000000002</v>
      </c>
      <c r="G231" s="375">
        <f t="shared" si="57"/>
        <v>6.5</v>
      </c>
      <c r="H231" s="375">
        <f t="shared" si="57"/>
        <v>13.8</v>
      </c>
      <c r="I231" s="375">
        <f t="shared" si="57"/>
        <v>14.149999999999997</v>
      </c>
      <c r="J231" s="375">
        <f t="shared" si="57"/>
        <v>14.150000000000004</v>
      </c>
      <c r="K231" s="375">
        <f t="shared" si="57"/>
        <v>27.399999999999995</v>
      </c>
      <c r="L231" s="375">
        <f t="shared" si="57"/>
        <v>19.500000000000004</v>
      </c>
      <c r="M231" s="375">
        <f t="shared" si="57"/>
        <v>7.6500000000000066</v>
      </c>
      <c r="N231" s="375">
        <f t="shared" si="57"/>
        <v>4.699999999999994</v>
      </c>
      <c r="O231" s="375">
        <f t="shared" si="57"/>
        <v>1.5000000000000013</v>
      </c>
      <c r="P231" s="375">
        <f t="shared" si="57"/>
        <v>0.3749999999999995</v>
      </c>
      <c r="Q231" s="375">
        <f t="shared" si="57"/>
        <v>0</v>
      </c>
      <c r="R231" s="375">
        <f t="shared" si="57"/>
        <v>0</v>
      </c>
      <c r="S231" s="375">
        <f t="shared" si="57"/>
        <v>0</v>
      </c>
      <c r="T231" s="375">
        <f t="shared" si="57"/>
        <v>0</v>
      </c>
      <c r="U231" s="375">
        <f t="shared" si="57"/>
        <v>0</v>
      </c>
      <c r="V231" s="375">
        <f t="shared" si="57"/>
        <v>0</v>
      </c>
      <c r="W231" s="375">
        <f t="shared" si="57"/>
        <v>0</v>
      </c>
      <c r="X231" s="375">
        <f t="shared" si="57"/>
        <v>0</v>
      </c>
      <c r="Y231" s="369"/>
    </row>
    <row r="232" spans="1:26" ht="13" thickBot="1" x14ac:dyDescent="0.3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</row>
    <row r="233" spans="1:26" ht="13.5" thickBot="1" x14ac:dyDescent="0.35">
      <c r="A233" s="361" t="s">
        <v>396</v>
      </c>
      <c r="B233" s="359">
        <f>ROW(A233)</f>
        <v>233</v>
      </c>
      <c r="C233" s="363" t="s">
        <v>118</v>
      </c>
      <c r="D233" s="353">
        <f>SUM(B236:Y236)</f>
        <v>158.04815100000002</v>
      </c>
      <c r="E233" s="363" t="s">
        <v>117</v>
      </c>
      <c r="F233" s="354">
        <v>198</v>
      </c>
      <c r="G233" s="363" t="s">
        <v>59</v>
      </c>
      <c r="H233" s="64">
        <v>0.19450000000000001</v>
      </c>
      <c r="I233" s="363" t="s">
        <v>274</v>
      </c>
      <c r="J233" s="355">
        <f>H233-L233</f>
        <v>8.9600000000000013E-2</v>
      </c>
      <c r="K233" s="363" t="s">
        <v>275</v>
      </c>
      <c r="L233" s="64">
        <v>0.10489999999999999</v>
      </c>
      <c r="M233" s="363" t="s">
        <v>60</v>
      </c>
      <c r="N233" s="65">
        <v>93</v>
      </c>
      <c r="O233" s="363" t="s">
        <v>62</v>
      </c>
      <c r="P233" s="65">
        <v>93</v>
      </c>
      <c r="Q233" s="363" t="s">
        <v>63</v>
      </c>
      <c r="R233" s="65">
        <v>187</v>
      </c>
      <c r="S233" s="363" t="s">
        <v>64</v>
      </c>
      <c r="T233" s="65">
        <v>29</v>
      </c>
      <c r="U233" s="363" t="s">
        <v>57</v>
      </c>
      <c r="V233" s="66" t="s">
        <v>122</v>
      </c>
      <c r="W233" s="463" t="s">
        <v>398</v>
      </c>
      <c r="X233" s="465">
        <v>1.27</v>
      </c>
      <c r="Y233" s="463" t="s">
        <v>397</v>
      </c>
      <c r="Z233" s="358">
        <v>14</v>
      </c>
    </row>
    <row r="234" spans="1:26" x14ac:dyDescent="0.25">
      <c r="A234" s="362" t="s">
        <v>33</v>
      </c>
      <c r="B234" s="472">
        <v>0</v>
      </c>
      <c r="C234" s="472">
        <v>4.0000000000000001E-3</v>
      </c>
      <c r="D234" s="472">
        <v>2.1999999999999999E-2</v>
      </c>
      <c r="E234" s="472">
        <v>3.9E-2</v>
      </c>
      <c r="F234" s="472">
        <v>0.122</v>
      </c>
      <c r="G234" s="472">
        <v>0.23599999999999999</v>
      </c>
      <c r="H234" s="472">
        <v>0.58899999999999997</v>
      </c>
      <c r="I234" s="472">
        <v>0.80100000000000005</v>
      </c>
      <c r="J234" s="472">
        <v>1.0680000000000001</v>
      </c>
      <c r="K234" s="472">
        <v>1.1180000000000001</v>
      </c>
      <c r="L234" s="472">
        <v>1.145</v>
      </c>
      <c r="M234" s="472">
        <v>1.1739999999999999</v>
      </c>
      <c r="N234" s="472">
        <v>1.2110000000000001</v>
      </c>
      <c r="O234" s="472">
        <v>1.2470000000000001</v>
      </c>
      <c r="P234" s="472">
        <v>1.2989999999999999</v>
      </c>
      <c r="Q234" s="371">
        <v>2</v>
      </c>
      <c r="R234" s="371">
        <v>2</v>
      </c>
      <c r="S234" s="371">
        <f t="shared" ref="S234:X235" si="58">R234</f>
        <v>2</v>
      </c>
      <c r="T234" s="371">
        <f t="shared" si="58"/>
        <v>2</v>
      </c>
      <c r="U234" s="371">
        <f t="shared" si="58"/>
        <v>2</v>
      </c>
      <c r="V234" s="371">
        <f t="shared" si="58"/>
        <v>2</v>
      </c>
      <c r="W234" s="371">
        <f t="shared" si="58"/>
        <v>2</v>
      </c>
      <c r="X234" s="371">
        <f t="shared" si="58"/>
        <v>2</v>
      </c>
      <c r="Y234" s="381">
        <v>1000</v>
      </c>
    </row>
    <row r="235" spans="1:26" x14ac:dyDescent="0.25">
      <c r="A235" s="378" t="s">
        <v>34</v>
      </c>
      <c r="B235" s="472">
        <v>0</v>
      </c>
      <c r="C235" s="472">
        <v>15.683</v>
      </c>
      <c r="D235" s="472">
        <v>170.834</v>
      </c>
      <c r="E235" s="472">
        <v>116.877</v>
      </c>
      <c r="F235" s="472">
        <v>142.642</v>
      </c>
      <c r="G235" s="472">
        <v>149.73699999999999</v>
      </c>
      <c r="H235" s="472">
        <v>142.642</v>
      </c>
      <c r="I235" s="472">
        <v>131.25299999999999</v>
      </c>
      <c r="J235" s="472">
        <v>122.104</v>
      </c>
      <c r="K235" s="472">
        <v>107.91500000000001</v>
      </c>
      <c r="L235" s="472">
        <v>78.415999999999997</v>
      </c>
      <c r="M235" s="472">
        <v>43.128999999999998</v>
      </c>
      <c r="N235" s="472">
        <v>21.471</v>
      </c>
      <c r="O235" s="472">
        <v>8.7750000000000004</v>
      </c>
      <c r="P235" s="472">
        <v>0</v>
      </c>
      <c r="Q235" s="373">
        <v>0</v>
      </c>
      <c r="R235" s="373">
        <v>0</v>
      </c>
      <c r="S235" s="373">
        <f t="shared" si="58"/>
        <v>0</v>
      </c>
      <c r="T235" s="373">
        <f t="shared" si="58"/>
        <v>0</v>
      </c>
      <c r="U235" s="373">
        <f t="shared" si="58"/>
        <v>0</v>
      </c>
      <c r="V235" s="373">
        <f t="shared" si="58"/>
        <v>0</v>
      </c>
      <c r="W235" s="373">
        <f t="shared" si="58"/>
        <v>0</v>
      </c>
      <c r="X235" s="373">
        <f t="shared" si="58"/>
        <v>0</v>
      </c>
      <c r="Y235" s="382">
        <v>0</v>
      </c>
    </row>
    <row r="236" spans="1:26" ht="13" thickBot="1" x14ac:dyDescent="0.3">
      <c r="A236" s="379" t="s">
        <v>119</v>
      </c>
      <c r="B236" s="374">
        <f t="shared" ref="B236:X236" si="59">(C235+B235)*(C234-B234)/2</f>
        <v>3.1365999999999998E-2</v>
      </c>
      <c r="C236" s="375">
        <f t="shared" si="59"/>
        <v>1.6786529999999997</v>
      </c>
      <c r="D236" s="375">
        <f t="shared" si="59"/>
        <v>2.4455435000000003</v>
      </c>
      <c r="E236" s="375">
        <f t="shared" si="59"/>
        <v>10.770038499999998</v>
      </c>
      <c r="F236" s="375">
        <f t="shared" si="59"/>
        <v>16.665603000000001</v>
      </c>
      <c r="G236" s="375">
        <f t="shared" si="59"/>
        <v>51.604893500000003</v>
      </c>
      <c r="H236" s="375">
        <f t="shared" si="59"/>
        <v>29.03287000000001</v>
      </c>
      <c r="I236" s="375">
        <f t="shared" si="59"/>
        <v>33.823159499999996</v>
      </c>
      <c r="J236" s="375">
        <f t="shared" si="59"/>
        <v>5.7504750000000051</v>
      </c>
      <c r="K236" s="375">
        <f t="shared" si="59"/>
        <v>2.5154684999999923</v>
      </c>
      <c r="L236" s="375">
        <f t="shared" si="59"/>
        <v>1.7624024999999945</v>
      </c>
      <c r="M236" s="375">
        <f t="shared" si="59"/>
        <v>1.1951000000000045</v>
      </c>
      <c r="N236" s="375">
        <f t="shared" si="59"/>
        <v>0.54442800000000058</v>
      </c>
      <c r="O236" s="375">
        <f t="shared" si="59"/>
        <v>0.22814999999999924</v>
      </c>
      <c r="P236" s="375">
        <f t="shared" si="59"/>
        <v>0</v>
      </c>
      <c r="Q236" s="375">
        <f t="shared" si="59"/>
        <v>0</v>
      </c>
      <c r="R236" s="375">
        <f t="shared" si="59"/>
        <v>0</v>
      </c>
      <c r="S236" s="375">
        <f t="shared" si="59"/>
        <v>0</v>
      </c>
      <c r="T236" s="375">
        <f t="shared" si="59"/>
        <v>0</v>
      </c>
      <c r="U236" s="375">
        <f t="shared" si="59"/>
        <v>0</v>
      </c>
      <c r="V236" s="375">
        <f t="shared" si="59"/>
        <v>0</v>
      </c>
      <c r="W236" s="375">
        <f t="shared" si="59"/>
        <v>0</v>
      </c>
      <c r="X236" s="375">
        <f t="shared" si="59"/>
        <v>0</v>
      </c>
      <c r="Y236" s="369"/>
    </row>
    <row r="237" spans="1:26" ht="13.5" thickBot="1" x14ac:dyDescent="0.35">
      <c r="A237" s="6" t="s">
        <v>378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</row>
    <row r="238" spans="1:26" ht="13.5" thickBot="1" x14ac:dyDescent="0.35">
      <c r="A238" s="361" t="s">
        <v>383</v>
      </c>
      <c r="B238" s="359">
        <f>ROW(A238)</f>
        <v>238</v>
      </c>
      <c r="C238" s="363" t="s">
        <v>118</v>
      </c>
      <c r="D238" s="353">
        <f>SUM(B241:Y241)</f>
        <v>136.75235000000001</v>
      </c>
      <c r="E238" s="363" t="s">
        <v>117</v>
      </c>
      <c r="F238" s="354">
        <f>D238/g/J238</f>
        <v>152.35078513616639</v>
      </c>
      <c r="G238" s="363" t="s">
        <v>59</v>
      </c>
      <c r="H238" s="64">
        <v>0.21249999999999999</v>
      </c>
      <c r="I238" s="363" t="s">
        <v>274</v>
      </c>
      <c r="J238" s="355">
        <f>H238-L238</f>
        <v>9.1499999999999998E-2</v>
      </c>
      <c r="K238" s="363" t="s">
        <v>275</v>
      </c>
      <c r="L238" s="64">
        <v>0.121</v>
      </c>
      <c r="M238" s="363" t="s">
        <v>60</v>
      </c>
      <c r="N238" s="65">
        <v>63</v>
      </c>
      <c r="O238" s="363" t="s">
        <v>62</v>
      </c>
      <c r="P238" s="65">
        <v>114</v>
      </c>
      <c r="Q238" s="363" t="s">
        <v>63</v>
      </c>
      <c r="R238" s="65">
        <v>127</v>
      </c>
      <c r="S238" s="363" t="s">
        <v>64</v>
      </c>
      <c r="T238" s="65">
        <v>38</v>
      </c>
      <c r="U238" s="363" t="s">
        <v>57</v>
      </c>
      <c r="V238" s="66" t="s">
        <v>122</v>
      </c>
      <c r="W238" s="463" t="s">
        <v>398</v>
      </c>
      <c r="X238" s="465">
        <v>2.36</v>
      </c>
      <c r="Y238" s="463" t="s">
        <v>397</v>
      </c>
      <c r="Z238" s="358">
        <v>13</v>
      </c>
    </row>
    <row r="239" spans="1:26" x14ac:dyDescent="0.25">
      <c r="A239" s="362" t="s">
        <v>33</v>
      </c>
      <c r="B239" s="370">
        <v>0</v>
      </c>
      <c r="C239" s="371">
        <v>2.9000000000000001E-2</v>
      </c>
      <c r="D239" s="371">
        <v>4.5999999999999999E-2</v>
      </c>
      <c r="E239" s="371">
        <v>5.8000000000000003E-2</v>
      </c>
      <c r="F239" s="371">
        <v>8.4000000000000005E-2</v>
      </c>
      <c r="G239" s="371">
        <v>0.17100000000000001</v>
      </c>
      <c r="H239" s="371">
        <v>0.28000000000000003</v>
      </c>
      <c r="I239" s="371">
        <v>0.45500000000000002</v>
      </c>
      <c r="J239" s="371">
        <v>0.58599999999999997</v>
      </c>
      <c r="K239" s="371">
        <v>0.74099999999999999</v>
      </c>
      <c r="L239" s="371">
        <v>0.95199999999999996</v>
      </c>
      <c r="M239" s="371">
        <v>1.2170000000000001</v>
      </c>
      <c r="N239" s="371">
        <v>1.43</v>
      </c>
      <c r="O239" s="371">
        <v>1.6259999999999999</v>
      </c>
      <c r="P239" s="371">
        <v>1.8069999999999999</v>
      </c>
      <c r="Q239" s="371">
        <v>1.9590000000000001</v>
      </c>
      <c r="R239" s="371">
        <v>2.1040000000000001</v>
      </c>
      <c r="S239" s="371">
        <v>2.1680000000000001</v>
      </c>
      <c r="T239" s="371">
        <v>2.21</v>
      </c>
      <c r="U239" s="371">
        <v>2.2469999999999999</v>
      </c>
      <c r="V239" s="371">
        <v>2.3290000000000002</v>
      </c>
      <c r="W239" s="371">
        <f>2.4</f>
        <v>2.4</v>
      </c>
      <c r="X239" s="371">
        <f>W239</f>
        <v>2.4</v>
      </c>
      <c r="Y239" s="381">
        <v>1000</v>
      </c>
    </row>
    <row r="240" spans="1:26" x14ac:dyDescent="0.25">
      <c r="A240" s="378" t="s">
        <v>34</v>
      </c>
      <c r="B240" s="372">
        <v>0</v>
      </c>
      <c r="C240" s="373">
        <v>90.25</v>
      </c>
      <c r="D240" s="373">
        <v>69.17</v>
      </c>
      <c r="E240" s="373">
        <v>59.947000000000003</v>
      </c>
      <c r="F240" s="373">
        <v>47.167000000000002</v>
      </c>
      <c r="G240" s="373">
        <v>57.970999999999997</v>
      </c>
      <c r="H240" s="373">
        <v>59.552</v>
      </c>
      <c r="I240" s="373">
        <v>61.265000000000001</v>
      </c>
      <c r="J240" s="373">
        <v>61.66</v>
      </c>
      <c r="K240" s="373">
        <v>62.319000000000003</v>
      </c>
      <c r="L240" s="373">
        <v>63.768000000000001</v>
      </c>
      <c r="M240" s="373">
        <v>64.69</v>
      </c>
      <c r="N240" s="373">
        <v>63.768000000000001</v>
      </c>
      <c r="O240" s="373">
        <v>61.265000000000001</v>
      </c>
      <c r="P240" s="373">
        <v>58.103000000000002</v>
      </c>
      <c r="Q240" s="373">
        <v>53.887</v>
      </c>
      <c r="R240" s="373">
        <v>48.353000000000002</v>
      </c>
      <c r="S240" s="373">
        <v>47.563000000000002</v>
      </c>
      <c r="T240" s="373">
        <v>44.005000000000003</v>
      </c>
      <c r="U240" s="373">
        <v>37.286000000000001</v>
      </c>
      <c r="V240" s="373">
        <v>22.265999999999998</v>
      </c>
      <c r="W240" s="373">
        <v>0</v>
      </c>
      <c r="X240" s="373">
        <f>W240</f>
        <v>0</v>
      </c>
      <c r="Y240" s="382">
        <v>0</v>
      </c>
    </row>
    <row r="241" spans="1:26" ht="13" thickBot="1" x14ac:dyDescent="0.3">
      <c r="A241" s="379" t="s">
        <v>119</v>
      </c>
      <c r="B241" s="374">
        <f t="shared" ref="B241:X241" si="60">(C240+B240)*(C239-B239)/2</f>
        <v>1.3086250000000001</v>
      </c>
      <c r="C241" s="375">
        <f t="shared" si="60"/>
        <v>1.35507</v>
      </c>
      <c r="D241" s="375">
        <f t="shared" si="60"/>
        <v>0.77470200000000033</v>
      </c>
      <c r="E241" s="375">
        <f t="shared" si="60"/>
        <v>1.3924820000000002</v>
      </c>
      <c r="F241" s="375">
        <f t="shared" si="60"/>
        <v>4.5735030000000005</v>
      </c>
      <c r="G241" s="375">
        <f t="shared" si="60"/>
        <v>6.4050035000000003</v>
      </c>
      <c r="H241" s="375">
        <f t="shared" si="60"/>
        <v>10.5714875</v>
      </c>
      <c r="I241" s="375">
        <f t="shared" si="60"/>
        <v>8.0515874999999966</v>
      </c>
      <c r="J241" s="375">
        <f t="shared" si="60"/>
        <v>9.6083725000000015</v>
      </c>
      <c r="K241" s="375">
        <f t="shared" si="60"/>
        <v>13.302178499999998</v>
      </c>
      <c r="L241" s="375">
        <f t="shared" si="60"/>
        <v>17.020685000000007</v>
      </c>
      <c r="M241" s="375">
        <f t="shared" si="60"/>
        <v>13.68077699999999</v>
      </c>
      <c r="N241" s="375">
        <f t="shared" si="60"/>
        <v>12.253233999999997</v>
      </c>
      <c r="O241" s="375">
        <f t="shared" si="60"/>
        <v>10.802804000000002</v>
      </c>
      <c r="P241" s="375">
        <f t="shared" si="60"/>
        <v>8.5112400000000079</v>
      </c>
      <c r="Q241" s="375">
        <f t="shared" si="60"/>
        <v>7.4124000000000017</v>
      </c>
      <c r="R241" s="375">
        <f t="shared" si="60"/>
        <v>3.0693120000000027</v>
      </c>
      <c r="S241" s="375">
        <f t="shared" si="60"/>
        <v>1.9229279999999918</v>
      </c>
      <c r="T241" s="375">
        <f t="shared" si="60"/>
        <v>1.5038834999999968</v>
      </c>
      <c r="U241" s="375">
        <f t="shared" si="60"/>
        <v>2.4416320000000087</v>
      </c>
      <c r="V241" s="375">
        <f t="shared" si="60"/>
        <v>0.7904429999999969</v>
      </c>
      <c r="W241" s="375">
        <f t="shared" si="60"/>
        <v>0</v>
      </c>
      <c r="X241" s="375">
        <f t="shared" si="60"/>
        <v>0</v>
      </c>
      <c r="Y241" s="369"/>
    </row>
    <row r="242" spans="1:26" ht="13" thickBot="1" x14ac:dyDescent="0.3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</row>
    <row r="243" spans="1:26" ht="13.5" thickBot="1" x14ac:dyDescent="0.35">
      <c r="A243" s="361" t="s">
        <v>384</v>
      </c>
      <c r="B243" s="359">
        <f>ROW(A243)</f>
        <v>243</v>
      </c>
      <c r="C243" s="363" t="s">
        <v>118</v>
      </c>
      <c r="D243" s="353">
        <f>SUM(B246:Y246)</f>
        <v>127.06944999999999</v>
      </c>
      <c r="E243" s="363" t="s">
        <v>117</v>
      </c>
      <c r="F243" s="354">
        <f>D243/g/J243</f>
        <v>180.65624835614466</v>
      </c>
      <c r="G243" s="363" t="s">
        <v>59</v>
      </c>
      <c r="H243" s="64">
        <v>0.18840000000000001</v>
      </c>
      <c r="I243" s="363" t="s">
        <v>274</v>
      </c>
      <c r="J243" s="355">
        <f>H243-L243</f>
        <v>7.1700000000000014E-2</v>
      </c>
      <c r="K243" s="363" t="s">
        <v>275</v>
      </c>
      <c r="L243" s="64">
        <v>0.1167</v>
      </c>
      <c r="M243" s="363" t="s">
        <v>60</v>
      </c>
      <c r="N243" s="65">
        <v>63</v>
      </c>
      <c r="O243" s="363" t="s">
        <v>62</v>
      </c>
      <c r="P243" s="65">
        <v>114</v>
      </c>
      <c r="Q243" s="363" t="s">
        <v>63</v>
      </c>
      <c r="R243" s="65">
        <v>127</v>
      </c>
      <c r="S243" s="363" t="s">
        <v>64</v>
      </c>
      <c r="T243" s="65">
        <v>38</v>
      </c>
      <c r="U243" s="363" t="s">
        <v>57</v>
      </c>
      <c r="V243" s="66" t="s">
        <v>122</v>
      </c>
      <c r="W243" s="463" t="s">
        <v>398</v>
      </c>
      <c r="X243" s="465">
        <v>0.69</v>
      </c>
      <c r="Y243" s="463" t="s">
        <v>397</v>
      </c>
      <c r="Z243" s="358">
        <v>12</v>
      </c>
    </row>
    <row r="244" spans="1:26" x14ac:dyDescent="0.25">
      <c r="A244" s="362" t="s">
        <v>33</v>
      </c>
      <c r="B244" s="370">
        <v>0</v>
      </c>
      <c r="C244" s="371">
        <v>0.01</v>
      </c>
      <c r="D244" s="371">
        <v>0.02</v>
      </c>
      <c r="E244" s="371">
        <v>0.05</v>
      </c>
      <c r="F244" s="371">
        <v>0.1</v>
      </c>
      <c r="G244" s="371">
        <v>0.2</v>
      </c>
      <c r="H244" s="371">
        <v>0.3</v>
      </c>
      <c r="I244" s="371">
        <v>0.35</v>
      </c>
      <c r="J244" s="371">
        <v>0.4</v>
      </c>
      <c r="K244" s="371">
        <v>0.45</v>
      </c>
      <c r="L244" s="371">
        <v>0.5</v>
      </c>
      <c r="M244" s="371">
        <v>0.55000000000000004</v>
      </c>
      <c r="N244" s="371">
        <v>0.6</v>
      </c>
      <c r="O244" s="371">
        <v>0.61</v>
      </c>
      <c r="P244" s="371">
        <v>0.63</v>
      </c>
      <c r="Q244" s="371">
        <v>0.64</v>
      </c>
      <c r="R244" s="371">
        <v>0.65</v>
      </c>
      <c r="S244" s="371">
        <v>0.67</v>
      </c>
      <c r="T244" s="371">
        <v>0.68</v>
      </c>
      <c r="U244" s="371">
        <v>0.69</v>
      </c>
      <c r="V244" s="371">
        <f t="shared" ref="V244:X245" si="61">U244</f>
        <v>0.69</v>
      </c>
      <c r="W244" s="371">
        <f t="shared" si="61"/>
        <v>0.69</v>
      </c>
      <c r="X244" s="371">
        <v>2</v>
      </c>
      <c r="Y244" s="381">
        <v>1000</v>
      </c>
    </row>
    <row r="245" spans="1:26" x14ac:dyDescent="0.25">
      <c r="A245" s="378" t="s">
        <v>34</v>
      </c>
      <c r="B245" s="372">
        <v>0</v>
      </c>
      <c r="C245" s="373">
        <v>108.72</v>
      </c>
      <c r="D245" s="373">
        <v>131.19</v>
      </c>
      <c r="E245" s="373">
        <v>153.13999999999999</v>
      </c>
      <c r="F245" s="373">
        <v>168.97</v>
      </c>
      <c r="G245" s="373">
        <v>189.92</v>
      </c>
      <c r="H245" s="373">
        <v>199.95</v>
      </c>
      <c r="I245" s="373">
        <v>203.59</v>
      </c>
      <c r="J245" s="373">
        <v>205.03</v>
      </c>
      <c r="K245" s="373">
        <v>202.6</v>
      </c>
      <c r="L245" s="373">
        <v>203.06</v>
      </c>
      <c r="M245" s="373">
        <v>199.34</v>
      </c>
      <c r="N245" s="373">
        <v>194.71</v>
      </c>
      <c r="O245" s="373">
        <v>194.1</v>
      </c>
      <c r="P245" s="373">
        <v>193.49</v>
      </c>
      <c r="Q245" s="373">
        <v>193.68</v>
      </c>
      <c r="R245" s="373">
        <v>202.91</v>
      </c>
      <c r="S245" s="373">
        <v>163.38999999999999</v>
      </c>
      <c r="T245" s="373">
        <v>80.44</v>
      </c>
      <c r="U245" s="373">
        <v>0</v>
      </c>
      <c r="V245" s="373">
        <f t="shared" si="61"/>
        <v>0</v>
      </c>
      <c r="W245" s="373">
        <f t="shared" si="61"/>
        <v>0</v>
      </c>
      <c r="X245" s="373">
        <f t="shared" si="61"/>
        <v>0</v>
      </c>
      <c r="Y245" s="382">
        <v>0</v>
      </c>
    </row>
    <row r="246" spans="1:26" ht="13" thickBot="1" x14ac:dyDescent="0.3">
      <c r="A246" s="379" t="s">
        <v>119</v>
      </c>
      <c r="B246" s="374">
        <f t="shared" ref="B246:X246" si="62">(C245+B245)*(C244-B244)/2</f>
        <v>0.54359999999999997</v>
      </c>
      <c r="C246" s="375">
        <f t="shared" si="62"/>
        <v>1.1995500000000001</v>
      </c>
      <c r="D246" s="375">
        <f t="shared" si="62"/>
        <v>4.2649499999999998</v>
      </c>
      <c r="E246" s="375">
        <f t="shared" si="62"/>
        <v>8.0527500000000014</v>
      </c>
      <c r="F246" s="375">
        <f t="shared" si="62"/>
        <v>17.944500000000001</v>
      </c>
      <c r="G246" s="375">
        <f t="shared" si="62"/>
        <v>19.493499999999997</v>
      </c>
      <c r="H246" s="375">
        <f t="shared" si="62"/>
        <v>10.088499999999996</v>
      </c>
      <c r="I246" s="375">
        <f t="shared" si="62"/>
        <v>10.215500000000009</v>
      </c>
      <c r="J246" s="375">
        <f t="shared" si="62"/>
        <v>10.190749999999998</v>
      </c>
      <c r="K246" s="375">
        <f t="shared" si="62"/>
        <v>10.141499999999997</v>
      </c>
      <c r="L246" s="375">
        <f t="shared" si="62"/>
        <v>10.060000000000008</v>
      </c>
      <c r="M246" s="375">
        <f t="shared" si="62"/>
        <v>9.8512499999999878</v>
      </c>
      <c r="N246" s="375">
        <f t="shared" si="62"/>
        <v>1.9440500000000018</v>
      </c>
      <c r="O246" s="375">
        <f t="shared" si="62"/>
        <v>3.8759000000000037</v>
      </c>
      <c r="P246" s="375">
        <f t="shared" si="62"/>
        <v>1.9358500000000018</v>
      </c>
      <c r="Q246" s="375">
        <f t="shared" si="62"/>
        <v>1.982950000000002</v>
      </c>
      <c r="R246" s="375">
        <f t="shared" si="62"/>
        <v>3.6630000000000029</v>
      </c>
      <c r="S246" s="375">
        <f t="shared" si="62"/>
        <v>1.2191500000000011</v>
      </c>
      <c r="T246" s="375">
        <f t="shared" si="62"/>
        <v>0.40219999999999589</v>
      </c>
      <c r="U246" s="375">
        <f t="shared" si="62"/>
        <v>0</v>
      </c>
      <c r="V246" s="375">
        <f t="shared" si="62"/>
        <v>0</v>
      </c>
      <c r="W246" s="375">
        <f t="shared" si="62"/>
        <v>0</v>
      </c>
      <c r="X246" s="375">
        <f t="shared" si="62"/>
        <v>0</v>
      </c>
      <c r="Y246" s="369"/>
    </row>
    <row r="247" spans="1:26" ht="13" thickBot="1" x14ac:dyDescent="0.3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</row>
    <row r="248" spans="1:26" ht="13.5" thickBot="1" x14ac:dyDescent="0.35">
      <c r="A248" s="361" t="s">
        <v>392</v>
      </c>
      <c r="B248" s="359">
        <f>ROW(A248)</f>
        <v>248</v>
      </c>
      <c r="C248" s="363" t="s">
        <v>118</v>
      </c>
      <c r="D248" s="353">
        <f>SUM(B251:Y251)</f>
        <v>142.7236025</v>
      </c>
      <c r="E248" s="363" t="s">
        <v>117</v>
      </c>
      <c r="F248" s="354">
        <v>208</v>
      </c>
      <c r="G248" s="363" t="s">
        <v>59</v>
      </c>
      <c r="H248" s="64">
        <v>0.19700000000000001</v>
      </c>
      <c r="I248" s="363" t="s">
        <v>274</v>
      </c>
      <c r="J248" s="355">
        <f>H248-L248</f>
        <v>7.0000000000000007E-2</v>
      </c>
      <c r="K248" s="363" t="s">
        <v>275</v>
      </c>
      <c r="L248" s="64">
        <v>0.127</v>
      </c>
      <c r="M248" s="363" t="s">
        <v>60</v>
      </c>
      <c r="N248" s="65">
        <v>63</v>
      </c>
      <c r="O248" s="363" t="s">
        <v>62</v>
      </c>
      <c r="P248" s="65">
        <v>114</v>
      </c>
      <c r="Q248" s="363" t="s">
        <v>63</v>
      </c>
      <c r="R248" s="65">
        <v>127</v>
      </c>
      <c r="S248" s="363" t="s">
        <v>64</v>
      </c>
      <c r="T248" s="65">
        <v>38</v>
      </c>
      <c r="U248" s="363" t="s">
        <v>57</v>
      </c>
      <c r="V248" s="66" t="s">
        <v>122</v>
      </c>
      <c r="W248" s="463" t="s">
        <v>398</v>
      </c>
      <c r="X248" s="465">
        <v>1.8</v>
      </c>
      <c r="Y248" s="463" t="s">
        <v>397</v>
      </c>
      <c r="Z248" s="358">
        <v>15</v>
      </c>
    </row>
    <row r="249" spans="1:26" x14ac:dyDescent="0.25">
      <c r="A249" s="362" t="s">
        <v>33</v>
      </c>
      <c r="B249" s="370">
        <v>0</v>
      </c>
      <c r="C249" s="370">
        <v>6.0000000000000001E-3</v>
      </c>
      <c r="D249" s="371">
        <v>1.7999999999999999E-2</v>
      </c>
      <c r="E249" s="371">
        <v>3.5999999999999997E-2</v>
      </c>
      <c r="F249" s="371">
        <v>4.7E-2</v>
      </c>
      <c r="G249" s="371">
        <v>8.4000000000000005E-2</v>
      </c>
      <c r="H249" s="371">
        <v>0.13500000000000001</v>
      </c>
      <c r="I249" s="371">
        <v>0.23799999999999999</v>
      </c>
      <c r="J249" s="371">
        <v>0.438</v>
      </c>
      <c r="K249" s="371">
        <v>0.63</v>
      </c>
      <c r="L249" s="371">
        <v>0.85899999999999999</v>
      </c>
      <c r="M249" s="371">
        <v>1.2829999999999999</v>
      </c>
      <c r="N249" s="371">
        <v>1.4470000000000001</v>
      </c>
      <c r="O249" s="371">
        <v>1.643</v>
      </c>
      <c r="P249" s="371">
        <v>1.7130000000000001</v>
      </c>
      <c r="Q249" s="371">
        <v>1.7430000000000001</v>
      </c>
      <c r="R249" s="371">
        <v>1.79</v>
      </c>
      <c r="S249" s="371">
        <v>1.8180000000000001</v>
      </c>
      <c r="T249" s="371">
        <v>1.8520000000000001</v>
      </c>
      <c r="U249" s="371">
        <v>2</v>
      </c>
      <c r="V249" s="371">
        <f t="shared" ref="V249:X250" si="63">U249</f>
        <v>2</v>
      </c>
      <c r="W249" s="371">
        <f t="shared" si="63"/>
        <v>2</v>
      </c>
      <c r="X249" s="371">
        <f t="shared" si="63"/>
        <v>2</v>
      </c>
      <c r="Y249" s="381">
        <v>1000</v>
      </c>
    </row>
    <row r="250" spans="1:26" x14ac:dyDescent="0.25">
      <c r="A250" s="378" t="s">
        <v>34</v>
      </c>
      <c r="B250" s="372">
        <v>0</v>
      </c>
      <c r="C250" s="372">
        <v>104.068</v>
      </c>
      <c r="D250" s="373">
        <v>137.928</v>
      </c>
      <c r="E250" s="373">
        <v>70.706999999999994</v>
      </c>
      <c r="F250" s="373">
        <v>62.241999999999997</v>
      </c>
      <c r="G250" s="373">
        <v>73.694000000000003</v>
      </c>
      <c r="H250" s="373">
        <v>78.176000000000002</v>
      </c>
      <c r="I250" s="373">
        <v>84.150999999999996</v>
      </c>
      <c r="J250" s="373">
        <v>89.628</v>
      </c>
      <c r="K250" s="373">
        <v>88.135000000000005</v>
      </c>
      <c r="L250" s="373">
        <v>87.138999999999996</v>
      </c>
      <c r="M250" s="373">
        <v>77.180000000000007</v>
      </c>
      <c r="N250" s="373">
        <v>70.706999999999994</v>
      </c>
      <c r="O250" s="373">
        <v>67.718999999999994</v>
      </c>
      <c r="P250" s="373">
        <v>64.233999999999995</v>
      </c>
      <c r="Q250" s="373">
        <v>54.274999999999999</v>
      </c>
      <c r="R250" s="373">
        <v>18.423999999999999</v>
      </c>
      <c r="S250" s="373">
        <v>6.4729999999999999</v>
      </c>
      <c r="T250" s="373">
        <v>0</v>
      </c>
      <c r="U250" s="373">
        <v>0</v>
      </c>
      <c r="V250" s="373">
        <f t="shared" si="63"/>
        <v>0</v>
      </c>
      <c r="W250" s="373">
        <f t="shared" si="63"/>
        <v>0</v>
      </c>
      <c r="X250" s="373">
        <f t="shared" si="63"/>
        <v>0</v>
      </c>
      <c r="Y250" s="382">
        <v>0</v>
      </c>
    </row>
    <row r="251" spans="1:26" ht="13" thickBot="1" x14ac:dyDescent="0.3">
      <c r="A251" s="379" t="s">
        <v>119</v>
      </c>
      <c r="B251" s="374">
        <f t="shared" ref="B251:X251" si="64">(C250+B250)*(C249-B249)/2</f>
        <v>0.31220399999999998</v>
      </c>
      <c r="C251" s="375">
        <f t="shared" si="64"/>
        <v>1.4519759999999997</v>
      </c>
      <c r="D251" s="375">
        <f t="shared" si="64"/>
        <v>1.8777149999999998</v>
      </c>
      <c r="E251" s="375">
        <f t="shared" si="64"/>
        <v>0.73121950000000013</v>
      </c>
      <c r="F251" s="375">
        <f t="shared" si="64"/>
        <v>2.5148160000000006</v>
      </c>
      <c r="G251" s="375">
        <f t="shared" si="64"/>
        <v>3.8726850000000006</v>
      </c>
      <c r="H251" s="375">
        <f t="shared" si="64"/>
        <v>8.3598404999999989</v>
      </c>
      <c r="I251" s="375">
        <f t="shared" si="64"/>
        <v>17.3779</v>
      </c>
      <c r="J251" s="375">
        <f t="shared" si="64"/>
        <v>17.065248</v>
      </c>
      <c r="K251" s="375">
        <f t="shared" si="64"/>
        <v>20.068873</v>
      </c>
      <c r="L251" s="375">
        <f t="shared" si="64"/>
        <v>34.835628</v>
      </c>
      <c r="M251" s="375">
        <f t="shared" si="64"/>
        <v>12.126734000000011</v>
      </c>
      <c r="N251" s="375">
        <f t="shared" si="64"/>
        <v>13.565747999999996</v>
      </c>
      <c r="O251" s="375">
        <f t="shared" si="64"/>
        <v>4.6183550000000029</v>
      </c>
      <c r="P251" s="375">
        <f t="shared" si="64"/>
        <v>1.7776350000000014</v>
      </c>
      <c r="Q251" s="375">
        <f t="shared" si="64"/>
        <v>1.7084264999999974</v>
      </c>
      <c r="R251" s="375">
        <f t="shared" si="64"/>
        <v>0.34855800000000031</v>
      </c>
      <c r="S251" s="375">
        <f t="shared" si="64"/>
        <v>0.1100410000000001</v>
      </c>
      <c r="T251" s="375">
        <f t="shared" si="64"/>
        <v>0</v>
      </c>
      <c r="U251" s="375">
        <f t="shared" si="64"/>
        <v>0</v>
      </c>
      <c r="V251" s="375">
        <f t="shared" si="64"/>
        <v>0</v>
      </c>
      <c r="W251" s="375">
        <f t="shared" si="64"/>
        <v>0</v>
      </c>
      <c r="X251" s="375">
        <f t="shared" si="64"/>
        <v>0</v>
      </c>
      <c r="Y251" s="369"/>
    </row>
    <row r="252" spans="1:26" ht="13" thickBot="1" x14ac:dyDescent="0.3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</row>
    <row r="253" spans="1:26" ht="13.5" thickBot="1" x14ac:dyDescent="0.35">
      <c r="A253" s="361" t="s">
        <v>277</v>
      </c>
      <c r="B253" s="360">
        <f>ROW(A253)</f>
        <v>253</v>
      </c>
      <c r="C253" s="363" t="s">
        <v>118</v>
      </c>
      <c r="D253" s="353">
        <f>SUM(B256:Y256)</f>
        <v>33.500000000000007</v>
      </c>
      <c r="E253" s="363" t="s">
        <v>117</v>
      </c>
      <c r="F253" s="354">
        <f>D253/g/J253</f>
        <v>68.297655453618759</v>
      </c>
      <c r="G253" s="363" t="s">
        <v>59</v>
      </c>
      <c r="H253" s="64">
        <v>8.5000000000000006E-2</v>
      </c>
      <c r="I253" s="363" t="s">
        <v>274</v>
      </c>
      <c r="J253" s="355">
        <f>H253-L253</f>
        <v>0.05</v>
      </c>
      <c r="K253" s="363" t="s">
        <v>275</v>
      </c>
      <c r="L253" s="64">
        <v>3.5000000000000003E-2</v>
      </c>
      <c r="M253" s="363" t="s">
        <v>60</v>
      </c>
      <c r="N253" s="65">
        <v>20</v>
      </c>
      <c r="O253" s="363" t="s">
        <v>62</v>
      </c>
      <c r="P253" s="65">
        <v>20</v>
      </c>
      <c r="Q253" s="363" t="s">
        <v>63</v>
      </c>
      <c r="R253" s="65">
        <v>39</v>
      </c>
      <c r="S253" s="363" t="s">
        <v>64</v>
      </c>
      <c r="T253" s="65">
        <v>39</v>
      </c>
      <c r="U253" s="363" t="s">
        <v>57</v>
      </c>
      <c r="V253" s="66" t="s">
        <v>405</v>
      </c>
      <c r="W253" s="12"/>
      <c r="X253" s="12"/>
      <c r="Y253" s="12"/>
    </row>
    <row r="254" spans="1:26" x14ac:dyDescent="0.25">
      <c r="A254" s="362" t="s">
        <v>33</v>
      </c>
      <c r="B254" s="370">
        <v>0</v>
      </c>
      <c r="C254" s="371">
        <v>0.05</v>
      </c>
      <c r="D254" s="371">
        <v>0.1</v>
      </c>
      <c r="E254" s="371">
        <v>0.25</v>
      </c>
      <c r="F254" s="371">
        <v>0.3</v>
      </c>
      <c r="G254" s="371">
        <v>0.35</v>
      </c>
      <c r="H254" s="371">
        <v>0.45</v>
      </c>
      <c r="I254" s="371">
        <v>0.55000000000000004</v>
      </c>
      <c r="J254" s="371">
        <v>3.5</v>
      </c>
      <c r="K254" s="371">
        <v>3.6</v>
      </c>
      <c r="L254" s="371">
        <v>3.6</v>
      </c>
      <c r="M254" s="371">
        <v>3.6</v>
      </c>
      <c r="N254" s="371">
        <v>3.6</v>
      </c>
      <c r="O254" s="371">
        <v>3.6</v>
      </c>
      <c r="P254" s="371">
        <v>3.6</v>
      </c>
      <c r="Q254" s="371">
        <v>3.6</v>
      </c>
      <c r="R254" s="371">
        <v>3.6</v>
      </c>
      <c r="S254" s="371">
        <v>3.6</v>
      </c>
      <c r="T254" s="371">
        <v>3.6</v>
      </c>
      <c r="U254" s="371">
        <v>3.6</v>
      </c>
      <c r="V254" s="371">
        <v>3.6</v>
      </c>
      <c r="W254" s="371">
        <v>3.6</v>
      </c>
      <c r="X254" s="371">
        <v>3.6</v>
      </c>
      <c r="Y254" s="381">
        <v>1000</v>
      </c>
    </row>
    <row r="255" spans="1:26" x14ac:dyDescent="0.25">
      <c r="A255" s="378" t="s">
        <v>34</v>
      </c>
      <c r="B255" s="372">
        <v>0</v>
      </c>
      <c r="C255" s="373">
        <v>68</v>
      </c>
      <c r="D255" s="373">
        <v>62</v>
      </c>
      <c r="E255" s="373">
        <v>60</v>
      </c>
      <c r="F255" s="373">
        <v>39</v>
      </c>
      <c r="G255" s="373">
        <v>38</v>
      </c>
      <c r="H255" s="373">
        <v>9</v>
      </c>
      <c r="I255" s="373">
        <v>5</v>
      </c>
      <c r="J255" s="373">
        <v>3</v>
      </c>
      <c r="K255" s="373">
        <v>0</v>
      </c>
      <c r="L255" s="373">
        <v>0</v>
      </c>
      <c r="M255" s="373">
        <v>0</v>
      </c>
      <c r="N255" s="373">
        <v>0</v>
      </c>
      <c r="O255" s="373">
        <v>0</v>
      </c>
      <c r="P255" s="373">
        <v>0</v>
      </c>
      <c r="Q255" s="373">
        <v>0</v>
      </c>
      <c r="R255" s="373">
        <v>0</v>
      </c>
      <c r="S255" s="373">
        <v>0</v>
      </c>
      <c r="T255" s="373">
        <v>0</v>
      </c>
      <c r="U255" s="373">
        <v>0</v>
      </c>
      <c r="V255" s="373">
        <v>0</v>
      </c>
      <c r="W255" s="373">
        <v>0</v>
      </c>
      <c r="X255" s="373">
        <v>0</v>
      </c>
      <c r="Y255" s="382">
        <v>0</v>
      </c>
    </row>
    <row r="256" spans="1:26" ht="13" thickBot="1" x14ac:dyDescent="0.3">
      <c r="A256" s="379" t="s">
        <v>119</v>
      </c>
      <c r="B256" s="374">
        <f t="shared" ref="B256:V256" si="65">(C255+B255)*(C254-B254)/2</f>
        <v>1.7000000000000002</v>
      </c>
      <c r="C256" s="375">
        <f t="shared" si="65"/>
        <v>3.25</v>
      </c>
      <c r="D256" s="375">
        <f t="shared" si="65"/>
        <v>9.15</v>
      </c>
      <c r="E256" s="375">
        <f t="shared" si="65"/>
        <v>2.4749999999999996</v>
      </c>
      <c r="F256" s="375">
        <f t="shared" si="65"/>
        <v>1.9249999999999996</v>
      </c>
      <c r="G256" s="375">
        <f t="shared" si="65"/>
        <v>2.350000000000001</v>
      </c>
      <c r="H256" s="375">
        <f t="shared" si="65"/>
        <v>0.70000000000000018</v>
      </c>
      <c r="I256" s="375">
        <f t="shared" si="65"/>
        <v>11.8</v>
      </c>
      <c r="J256" s="375">
        <f t="shared" si="65"/>
        <v>0.15000000000000013</v>
      </c>
      <c r="K256" s="375">
        <f t="shared" si="65"/>
        <v>0</v>
      </c>
      <c r="L256" s="375">
        <f t="shared" si="65"/>
        <v>0</v>
      </c>
      <c r="M256" s="375">
        <f t="shared" si="65"/>
        <v>0</v>
      </c>
      <c r="N256" s="375">
        <f t="shared" si="65"/>
        <v>0</v>
      </c>
      <c r="O256" s="375">
        <f t="shared" si="65"/>
        <v>0</v>
      </c>
      <c r="P256" s="375">
        <f t="shared" si="65"/>
        <v>0</v>
      </c>
      <c r="Q256" s="375">
        <f t="shared" si="65"/>
        <v>0</v>
      </c>
      <c r="R256" s="375">
        <f t="shared" si="65"/>
        <v>0</v>
      </c>
      <c r="S256" s="375">
        <f t="shared" si="65"/>
        <v>0</v>
      </c>
      <c r="T256" s="375">
        <f t="shared" si="65"/>
        <v>0</v>
      </c>
      <c r="U256" s="375">
        <f t="shared" si="65"/>
        <v>0</v>
      </c>
      <c r="V256" s="375">
        <f t="shared" si="65"/>
        <v>0</v>
      </c>
      <c r="W256" s="375">
        <f>(X255+W255)*(X254-W254)/2</f>
        <v>0</v>
      </c>
      <c r="X256" s="375">
        <f>(Y255+X255)*(Y254-X254)/2</f>
        <v>0</v>
      </c>
      <c r="Y256" s="369"/>
    </row>
    <row r="257" spans="1:25" ht="13" thickBot="1" x14ac:dyDescent="0.3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</row>
    <row r="258" spans="1:25" ht="13.5" thickBot="1" x14ac:dyDescent="0.35">
      <c r="A258" s="361" t="s">
        <v>278</v>
      </c>
      <c r="B258" s="359">
        <f>ROW(A258)</f>
        <v>258</v>
      </c>
      <c r="C258" s="363" t="s">
        <v>118</v>
      </c>
      <c r="D258" s="353">
        <f>SUM(B261:Y261)</f>
        <v>145.46</v>
      </c>
      <c r="E258" s="363" t="s">
        <v>117</v>
      </c>
      <c r="F258" s="354">
        <f>D258/g/J258</f>
        <v>211.82466870540264</v>
      </c>
      <c r="G258" s="363" t="s">
        <v>59</v>
      </c>
      <c r="H258" s="64">
        <v>0.22</v>
      </c>
      <c r="I258" s="363" t="s">
        <v>274</v>
      </c>
      <c r="J258" s="355">
        <f>H258-L258</f>
        <v>7.0000000000000007E-2</v>
      </c>
      <c r="K258" s="363" t="s">
        <v>275</v>
      </c>
      <c r="L258" s="64">
        <v>0.15</v>
      </c>
      <c r="M258" s="363" t="s">
        <v>60</v>
      </c>
      <c r="N258" s="65">
        <v>50</v>
      </c>
      <c r="O258" s="363" t="s">
        <v>62</v>
      </c>
      <c r="P258" s="65">
        <v>55</v>
      </c>
      <c r="Q258" s="363" t="s">
        <v>63</v>
      </c>
      <c r="R258" s="65">
        <v>76</v>
      </c>
      <c r="S258" s="363" t="s">
        <v>64</v>
      </c>
      <c r="T258" s="65">
        <v>40</v>
      </c>
      <c r="U258" s="363" t="s">
        <v>57</v>
      </c>
      <c r="V258" s="66" t="s">
        <v>405</v>
      </c>
      <c r="W258" s="12"/>
      <c r="X258" s="12"/>
      <c r="Y258" s="12"/>
    </row>
    <row r="259" spans="1:25" x14ac:dyDescent="0.25">
      <c r="A259" s="362" t="s">
        <v>33</v>
      </c>
      <c r="B259" s="370">
        <v>0</v>
      </c>
      <c r="C259" s="371">
        <v>0.02</v>
      </c>
      <c r="D259" s="371">
        <v>0.04</v>
      </c>
      <c r="E259" s="371">
        <v>0.05</v>
      </c>
      <c r="F259" s="371">
        <v>0.06</v>
      </c>
      <c r="G259" s="371">
        <v>0.94</v>
      </c>
      <c r="H259" s="377">
        <v>0.94200000000000006</v>
      </c>
      <c r="I259" s="371">
        <v>0.95</v>
      </c>
      <c r="J259" s="371">
        <v>0.95</v>
      </c>
      <c r="K259" s="371">
        <v>0.95</v>
      </c>
      <c r="L259" s="371">
        <v>0.95</v>
      </c>
      <c r="M259" s="371">
        <v>0.95</v>
      </c>
      <c r="N259" s="371">
        <v>0.95</v>
      </c>
      <c r="O259" s="371">
        <v>0.95</v>
      </c>
      <c r="P259" s="371">
        <v>0.95</v>
      </c>
      <c r="Q259" s="371">
        <v>0.95</v>
      </c>
      <c r="R259" s="371">
        <v>0.95</v>
      </c>
      <c r="S259" s="371">
        <v>0.95</v>
      </c>
      <c r="T259" s="371">
        <v>0.95</v>
      </c>
      <c r="U259" s="371">
        <v>0.95</v>
      </c>
      <c r="V259" s="371">
        <v>0.95</v>
      </c>
      <c r="W259" s="371">
        <v>0.95</v>
      </c>
      <c r="X259" s="371">
        <v>2</v>
      </c>
      <c r="Y259" s="381">
        <v>1000</v>
      </c>
    </row>
    <row r="260" spans="1:25" x14ac:dyDescent="0.25">
      <c r="A260" s="378" t="s">
        <v>34</v>
      </c>
      <c r="B260" s="372">
        <v>0</v>
      </c>
      <c r="C260" s="373">
        <v>320</v>
      </c>
      <c r="D260" s="373">
        <v>170</v>
      </c>
      <c r="E260" s="373">
        <v>205</v>
      </c>
      <c r="F260" s="373">
        <v>217</v>
      </c>
      <c r="G260" s="373">
        <v>85</v>
      </c>
      <c r="H260" s="373">
        <v>82</v>
      </c>
      <c r="I260" s="373">
        <v>0</v>
      </c>
      <c r="J260" s="373">
        <v>0</v>
      </c>
      <c r="K260" s="373">
        <v>0</v>
      </c>
      <c r="L260" s="373">
        <v>0</v>
      </c>
      <c r="M260" s="373">
        <v>0</v>
      </c>
      <c r="N260" s="373">
        <v>0</v>
      </c>
      <c r="O260" s="373">
        <v>0</v>
      </c>
      <c r="P260" s="373">
        <v>0</v>
      </c>
      <c r="Q260" s="373">
        <v>0</v>
      </c>
      <c r="R260" s="373">
        <v>0</v>
      </c>
      <c r="S260" s="373">
        <v>0</v>
      </c>
      <c r="T260" s="373">
        <v>0</v>
      </c>
      <c r="U260" s="373">
        <v>0</v>
      </c>
      <c r="V260" s="373">
        <v>0</v>
      </c>
      <c r="W260" s="373">
        <v>0</v>
      </c>
      <c r="X260" s="373">
        <v>0</v>
      </c>
      <c r="Y260" s="382">
        <v>0</v>
      </c>
    </row>
    <row r="261" spans="1:25" ht="13" thickBot="1" x14ac:dyDescent="0.3">
      <c r="A261" s="379" t="s">
        <v>119</v>
      </c>
      <c r="B261" s="374">
        <f t="shared" ref="B261:H261" si="66">(C260+B260)*(C259-B259)/2</f>
        <v>3.2</v>
      </c>
      <c r="C261" s="375">
        <f t="shared" si="66"/>
        <v>4.9000000000000004</v>
      </c>
      <c r="D261" s="375">
        <f t="shared" si="66"/>
        <v>1.8750000000000004</v>
      </c>
      <c r="E261" s="375">
        <f t="shared" si="66"/>
        <v>2.109999999999999</v>
      </c>
      <c r="F261" s="375">
        <f t="shared" si="66"/>
        <v>132.88</v>
      </c>
      <c r="G261" s="375">
        <f t="shared" si="66"/>
        <v>0.16700000000000942</v>
      </c>
      <c r="H261" s="375">
        <f t="shared" si="66"/>
        <v>0.32799999999999574</v>
      </c>
      <c r="I261" s="375">
        <f t="shared" ref="I261:V261" si="67">(J260+I260)*(J259-I259)/2</f>
        <v>0</v>
      </c>
      <c r="J261" s="375">
        <f>(K260+J260)*(K259-J259)/2</f>
        <v>0</v>
      </c>
      <c r="K261" s="375">
        <f t="shared" si="67"/>
        <v>0</v>
      </c>
      <c r="L261" s="375">
        <f t="shared" si="67"/>
        <v>0</v>
      </c>
      <c r="M261" s="375">
        <f t="shared" si="67"/>
        <v>0</v>
      </c>
      <c r="N261" s="375">
        <f t="shared" si="67"/>
        <v>0</v>
      </c>
      <c r="O261" s="375">
        <f t="shared" si="67"/>
        <v>0</v>
      </c>
      <c r="P261" s="375">
        <f t="shared" si="67"/>
        <v>0</v>
      </c>
      <c r="Q261" s="375">
        <f t="shared" si="67"/>
        <v>0</v>
      </c>
      <c r="R261" s="375">
        <f t="shared" si="67"/>
        <v>0</v>
      </c>
      <c r="S261" s="375">
        <f>(T260+S260)*(T259-S259)/2</f>
        <v>0</v>
      </c>
      <c r="T261" s="375">
        <f t="shared" si="67"/>
        <v>0</v>
      </c>
      <c r="U261" s="375">
        <f t="shared" si="67"/>
        <v>0</v>
      </c>
      <c r="V261" s="375">
        <f t="shared" si="67"/>
        <v>0</v>
      </c>
      <c r="W261" s="375">
        <f>(X260+W260)*(X259-W259)/2</f>
        <v>0</v>
      </c>
      <c r="X261" s="375">
        <f>(Y260+X260)*(Y259-X259)/2</f>
        <v>0</v>
      </c>
      <c r="Y261" s="369"/>
    </row>
    <row r="262" spans="1:25" x14ac:dyDescent="0.25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</row>
    <row r="263" spans="1:25" ht="13.5" thickBot="1" x14ac:dyDescent="0.35">
      <c r="A263" s="6" t="s">
        <v>316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</row>
    <row r="264" spans="1:25" ht="13.5" thickBot="1" x14ac:dyDescent="0.35">
      <c r="A264" s="361" t="s">
        <v>35</v>
      </c>
      <c r="B264" s="359">
        <f>ROW(A264)</f>
        <v>264</v>
      </c>
      <c r="C264" s="363" t="s">
        <v>118</v>
      </c>
      <c r="D264" s="353">
        <f>SUM(B267:Y267)</f>
        <v>1071.5999999999999</v>
      </c>
      <c r="E264" s="363" t="s">
        <v>117</v>
      </c>
      <c r="F264" s="354">
        <f>D264/g/J264</f>
        <v>163.03802090465106</v>
      </c>
      <c r="G264" s="363" t="s">
        <v>59</v>
      </c>
      <c r="H264" s="64">
        <v>2.02</v>
      </c>
      <c r="I264" s="363" t="s">
        <v>274</v>
      </c>
      <c r="J264" s="355">
        <f>H264-L264</f>
        <v>0.66999999999999993</v>
      </c>
      <c r="K264" s="363" t="s">
        <v>275</v>
      </c>
      <c r="L264" s="64">
        <v>1.35</v>
      </c>
      <c r="M264" s="363" t="s">
        <v>60</v>
      </c>
      <c r="N264" s="65">
        <v>154</v>
      </c>
      <c r="O264" s="363" t="s">
        <v>62</v>
      </c>
      <c r="P264" s="65">
        <v>168</v>
      </c>
      <c r="Q264" s="363" t="s">
        <v>63</v>
      </c>
      <c r="R264" s="65">
        <v>230</v>
      </c>
      <c r="S264" s="363" t="s">
        <v>64</v>
      </c>
      <c r="T264" s="65">
        <v>67</v>
      </c>
      <c r="U264" s="363" t="s">
        <v>57</v>
      </c>
      <c r="V264" s="66" t="s">
        <v>121</v>
      </c>
      <c r="W264" s="12"/>
      <c r="X264" s="12"/>
      <c r="Y264" s="12"/>
    </row>
    <row r="265" spans="1:25" x14ac:dyDescent="0.25">
      <c r="A265" s="362" t="s">
        <v>33</v>
      </c>
      <c r="B265" s="370">
        <v>0</v>
      </c>
      <c r="C265" s="371">
        <v>0.02</v>
      </c>
      <c r="D265" s="371">
        <v>0.05</v>
      </c>
      <c r="E265" s="371">
        <v>0.06</v>
      </c>
      <c r="F265" s="371">
        <v>0.09</v>
      </c>
      <c r="G265" s="371">
        <v>0.17</v>
      </c>
      <c r="H265" s="371">
        <v>0.2</v>
      </c>
      <c r="I265" s="371">
        <v>0.38</v>
      </c>
      <c r="J265" s="371">
        <v>0.75</v>
      </c>
      <c r="K265" s="371">
        <v>0.79</v>
      </c>
      <c r="L265" s="371">
        <v>1.1299999999999999</v>
      </c>
      <c r="M265" s="371">
        <v>1.2</v>
      </c>
      <c r="N265" s="371">
        <v>1.5</v>
      </c>
      <c r="O265" s="371">
        <v>1.54</v>
      </c>
      <c r="P265" s="371">
        <v>1.65</v>
      </c>
      <c r="Q265" s="371">
        <v>1.7</v>
      </c>
      <c r="R265" s="371">
        <v>1.79</v>
      </c>
      <c r="S265" s="371">
        <v>1.79</v>
      </c>
      <c r="T265" s="371">
        <v>1.79</v>
      </c>
      <c r="U265" s="371">
        <v>1.79</v>
      </c>
      <c r="V265" s="371">
        <v>1.79</v>
      </c>
      <c r="W265" s="371">
        <v>1.79</v>
      </c>
      <c r="X265" s="371">
        <v>1.79</v>
      </c>
      <c r="Y265" s="381">
        <v>1000</v>
      </c>
    </row>
    <row r="266" spans="1:25" x14ac:dyDescent="0.25">
      <c r="A266" s="378" t="s">
        <v>34</v>
      </c>
      <c r="B266" s="372">
        <v>0</v>
      </c>
      <c r="C266" s="373">
        <v>20</v>
      </c>
      <c r="D266" s="373">
        <v>870</v>
      </c>
      <c r="E266" s="373">
        <v>530</v>
      </c>
      <c r="F266" s="373">
        <v>790</v>
      </c>
      <c r="G266" s="373">
        <v>700</v>
      </c>
      <c r="H266" s="373">
        <v>710</v>
      </c>
      <c r="I266" s="373">
        <v>670</v>
      </c>
      <c r="J266" s="373">
        <v>630</v>
      </c>
      <c r="K266" s="373">
        <v>630</v>
      </c>
      <c r="L266" s="373">
        <v>710</v>
      </c>
      <c r="M266" s="373">
        <v>690</v>
      </c>
      <c r="N266" s="373">
        <v>690</v>
      </c>
      <c r="O266" s="373">
        <v>660</v>
      </c>
      <c r="P266" s="373">
        <v>160</v>
      </c>
      <c r="Q266" s="373">
        <v>10</v>
      </c>
      <c r="R266" s="373">
        <v>0</v>
      </c>
      <c r="S266" s="373">
        <v>0</v>
      </c>
      <c r="T266" s="373">
        <v>0</v>
      </c>
      <c r="U266" s="373">
        <v>0</v>
      </c>
      <c r="V266" s="373">
        <v>0</v>
      </c>
      <c r="W266" s="373">
        <v>0</v>
      </c>
      <c r="X266" s="373">
        <v>0</v>
      </c>
      <c r="Y266" s="382">
        <v>0</v>
      </c>
    </row>
    <row r="267" spans="1:25" ht="13" thickBot="1" x14ac:dyDescent="0.3">
      <c r="A267" s="379" t="s">
        <v>119</v>
      </c>
      <c r="B267" s="374">
        <f t="shared" ref="B267:Q267" si="68">(C266+B266)*(C265-B265)/2</f>
        <v>0.2</v>
      </c>
      <c r="C267" s="375">
        <f t="shared" si="68"/>
        <v>13.350000000000001</v>
      </c>
      <c r="D267" s="375">
        <f t="shared" si="68"/>
        <v>6.9999999999999964</v>
      </c>
      <c r="E267" s="375">
        <f t="shared" si="68"/>
        <v>19.8</v>
      </c>
      <c r="F267" s="375">
        <f t="shared" si="68"/>
        <v>59.600000000000009</v>
      </c>
      <c r="G267" s="375">
        <f t="shared" si="68"/>
        <v>21.15</v>
      </c>
      <c r="H267" s="375">
        <f t="shared" si="68"/>
        <v>124.19999999999999</v>
      </c>
      <c r="I267" s="375">
        <f t="shared" si="68"/>
        <v>240.5</v>
      </c>
      <c r="J267" s="375">
        <f>(K266+J266)*(K265-J265)/2</f>
        <v>25.200000000000024</v>
      </c>
      <c r="K267" s="375">
        <f t="shared" si="68"/>
        <v>227.7999999999999</v>
      </c>
      <c r="L267" s="375">
        <f t="shared" si="68"/>
        <v>49.000000000000043</v>
      </c>
      <c r="M267" s="375">
        <f t="shared" si="68"/>
        <v>207.00000000000003</v>
      </c>
      <c r="N267" s="375">
        <f t="shared" si="68"/>
        <v>27.000000000000025</v>
      </c>
      <c r="O267" s="375">
        <f t="shared" si="68"/>
        <v>45.099999999999952</v>
      </c>
      <c r="P267" s="375">
        <f t="shared" si="68"/>
        <v>4.2500000000000036</v>
      </c>
      <c r="Q267" s="375">
        <f t="shared" si="68"/>
        <v>0.4500000000000004</v>
      </c>
      <c r="R267" s="375">
        <f t="shared" ref="R267:X267" si="69">(S266+R266)*(S265-R265)/2</f>
        <v>0</v>
      </c>
      <c r="S267" s="375">
        <f t="shared" si="69"/>
        <v>0</v>
      </c>
      <c r="T267" s="375">
        <f t="shared" si="69"/>
        <v>0</v>
      </c>
      <c r="U267" s="375">
        <f t="shared" si="69"/>
        <v>0</v>
      </c>
      <c r="V267" s="375">
        <f t="shared" si="69"/>
        <v>0</v>
      </c>
      <c r="W267" s="375">
        <f t="shared" si="69"/>
        <v>0</v>
      </c>
      <c r="X267" s="375">
        <f t="shared" si="69"/>
        <v>0</v>
      </c>
      <c r="Y267" s="383"/>
    </row>
    <row r="268" spans="1:25" ht="13" thickBot="1" x14ac:dyDescent="0.3">
      <c r="S268" s="12"/>
      <c r="T268" s="12"/>
      <c r="U268" s="12"/>
      <c r="V268" s="12"/>
      <c r="W268" s="12"/>
      <c r="X268" s="12"/>
      <c r="Y268" s="12"/>
    </row>
    <row r="269" spans="1:25" ht="13.5" thickBot="1" x14ac:dyDescent="0.35">
      <c r="A269" s="361" t="s">
        <v>36</v>
      </c>
      <c r="B269" s="359">
        <f>ROW(A269)</f>
        <v>269</v>
      </c>
      <c r="C269" s="363" t="s">
        <v>118</v>
      </c>
      <c r="D269" s="353">
        <f>SUM(B272:Y272)</f>
        <v>2102.35</v>
      </c>
      <c r="E269" s="363" t="s">
        <v>117</v>
      </c>
      <c r="F269" s="354">
        <f>D269/g/J269</f>
        <v>174.23319493133766</v>
      </c>
      <c r="G269" s="363" t="s">
        <v>59</v>
      </c>
      <c r="H269" s="64">
        <v>3.7</v>
      </c>
      <c r="I269" s="363" t="s">
        <v>274</v>
      </c>
      <c r="J269" s="355">
        <f>H269-L269</f>
        <v>1.23</v>
      </c>
      <c r="K269" s="363" t="s">
        <v>275</v>
      </c>
      <c r="L269" s="64">
        <v>2.4700000000000002</v>
      </c>
      <c r="M269" s="363" t="s">
        <v>60</v>
      </c>
      <c r="N269" s="65">
        <v>151</v>
      </c>
      <c r="O269" s="363" t="s">
        <v>62</v>
      </c>
      <c r="P269" s="65">
        <v>171</v>
      </c>
      <c r="Q269" s="363" t="s">
        <v>63</v>
      </c>
      <c r="R269" s="65">
        <v>247</v>
      </c>
      <c r="S269" s="363" t="s">
        <v>64</v>
      </c>
      <c r="T269" s="65">
        <v>90</v>
      </c>
      <c r="U269" s="363" t="s">
        <v>57</v>
      </c>
      <c r="V269" s="66" t="s">
        <v>121</v>
      </c>
      <c r="W269" s="12"/>
      <c r="X269" s="12"/>
      <c r="Y269" s="12"/>
    </row>
    <row r="270" spans="1:25" x14ac:dyDescent="0.25">
      <c r="A270" s="362" t="s">
        <v>33</v>
      </c>
      <c r="B270" s="370">
        <v>0</v>
      </c>
      <c r="C270" s="371">
        <v>0.05</v>
      </c>
      <c r="D270" s="371">
        <v>0.1</v>
      </c>
      <c r="E270" s="371">
        <v>1</v>
      </c>
      <c r="F270" s="371">
        <v>1.35</v>
      </c>
      <c r="G270" s="371">
        <v>1.75</v>
      </c>
      <c r="H270" s="371">
        <v>2.15</v>
      </c>
      <c r="I270" s="371">
        <v>2.25</v>
      </c>
      <c r="J270" s="371">
        <v>2.48</v>
      </c>
      <c r="K270" s="371">
        <v>2.6</v>
      </c>
      <c r="L270" s="371">
        <v>2.8</v>
      </c>
      <c r="M270" s="371">
        <v>2.8</v>
      </c>
      <c r="N270" s="371">
        <v>2.8</v>
      </c>
      <c r="O270" s="371">
        <v>2.8</v>
      </c>
      <c r="P270" s="371">
        <v>2.8</v>
      </c>
      <c r="Q270" s="371">
        <v>2.8</v>
      </c>
      <c r="R270" s="371">
        <v>2.8</v>
      </c>
      <c r="S270" s="371">
        <v>2.8</v>
      </c>
      <c r="T270" s="371">
        <v>2.8</v>
      </c>
      <c r="U270" s="371">
        <v>2.8</v>
      </c>
      <c r="V270" s="371">
        <v>2.8</v>
      </c>
      <c r="W270" s="371">
        <v>2.8</v>
      </c>
      <c r="X270" s="371">
        <v>2.8</v>
      </c>
      <c r="Y270" s="381">
        <v>1000</v>
      </c>
    </row>
    <row r="271" spans="1:25" x14ac:dyDescent="0.25">
      <c r="A271" s="378" t="s">
        <v>34</v>
      </c>
      <c r="B271" s="372">
        <v>0</v>
      </c>
      <c r="C271" s="373">
        <v>860</v>
      </c>
      <c r="D271" s="373">
        <v>840</v>
      </c>
      <c r="E271" s="373">
        <v>840</v>
      </c>
      <c r="F271" s="373">
        <v>850</v>
      </c>
      <c r="G271" s="373">
        <v>900</v>
      </c>
      <c r="H271" s="373">
        <v>1050</v>
      </c>
      <c r="I271" s="373">
        <v>1020</v>
      </c>
      <c r="J271" s="373">
        <v>120</v>
      </c>
      <c r="K271" s="373">
        <v>30</v>
      </c>
      <c r="L271" s="373">
        <v>0</v>
      </c>
      <c r="M271" s="373">
        <v>0</v>
      </c>
      <c r="N271" s="373">
        <v>0</v>
      </c>
      <c r="O271" s="373">
        <v>0</v>
      </c>
      <c r="P271" s="373">
        <v>0</v>
      </c>
      <c r="Q271" s="373">
        <v>0</v>
      </c>
      <c r="R271" s="373">
        <v>0</v>
      </c>
      <c r="S271" s="373">
        <v>0</v>
      </c>
      <c r="T271" s="373">
        <v>0</v>
      </c>
      <c r="U271" s="373">
        <v>0</v>
      </c>
      <c r="V271" s="373">
        <v>0</v>
      </c>
      <c r="W271" s="373">
        <v>0</v>
      </c>
      <c r="X271" s="373">
        <v>0</v>
      </c>
      <c r="Y271" s="382">
        <v>0</v>
      </c>
    </row>
    <row r="272" spans="1:25" ht="13" thickBot="1" x14ac:dyDescent="0.3">
      <c r="A272" s="379" t="s">
        <v>119</v>
      </c>
      <c r="B272" s="374">
        <f t="shared" ref="B272:K272" si="70">(C271+B271)*(C270-B270)/2</f>
        <v>21.5</v>
      </c>
      <c r="C272" s="375">
        <f t="shared" si="70"/>
        <v>42.5</v>
      </c>
      <c r="D272" s="375">
        <f t="shared" si="70"/>
        <v>756</v>
      </c>
      <c r="E272" s="375">
        <f t="shared" si="70"/>
        <v>295.75000000000006</v>
      </c>
      <c r="F272" s="375">
        <f t="shared" si="70"/>
        <v>349.99999999999994</v>
      </c>
      <c r="G272" s="375">
        <f t="shared" si="70"/>
        <v>389.99999999999989</v>
      </c>
      <c r="H272" s="375">
        <f t="shared" si="70"/>
        <v>103.50000000000009</v>
      </c>
      <c r="I272" s="375">
        <f t="shared" si="70"/>
        <v>131.1</v>
      </c>
      <c r="J272" s="375">
        <f>(K271+J271)*(K270-J270)/2</f>
        <v>9.0000000000000071</v>
      </c>
      <c r="K272" s="375">
        <f t="shared" si="70"/>
        <v>2.999999999999996</v>
      </c>
      <c r="L272" s="375">
        <f t="shared" ref="L272:V272" si="71">(M271+L271)*(M270-L270)/2</f>
        <v>0</v>
      </c>
      <c r="M272" s="375">
        <f t="shared" si="71"/>
        <v>0</v>
      </c>
      <c r="N272" s="375">
        <f t="shared" si="71"/>
        <v>0</v>
      </c>
      <c r="O272" s="375">
        <f t="shared" si="71"/>
        <v>0</v>
      </c>
      <c r="P272" s="375">
        <f t="shared" si="71"/>
        <v>0</v>
      </c>
      <c r="Q272" s="375">
        <f t="shared" si="71"/>
        <v>0</v>
      </c>
      <c r="R272" s="375">
        <f t="shared" si="71"/>
        <v>0</v>
      </c>
      <c r="S272" s="375">
        <f>(T271+S271)*(T270-S270)/2</f>
        <v>0</v>
      </c>
      <c r="T272" s="375">
        <f t="shared" si="71"/>
        <v>0</v>
      </c>
      <c r="U272" s="375">
        <f t="shared" si="71"/>
        <v>0</v>
      </c>
      <c r="V272" s="375">
        <f t="shared" si="71"/>
        <v>0</v>
      </c>
      <c r="W272" s="375">
        <f>(X271+W271)*(X270-W270)/2</f>
        <v>0</v>
      </c>
      <c r="X272" s="375">
        <f>(Y271+X271)*(Y270-X270)/2</f>
        <v>0</v>
      </c>
      <c r="Y272" s="369"/>
    </row>
    <row r="273" spans="1:25" ht="13" thickBot="1" x14ac:dyDescent="0.3"/>
    <row r="274" spans="1:25" ht="13.5" thickBot="1" x14ac:dyDescent="0.35">
      <c r="A274" s="361" t="s">
        <v>45</v>
      </c>
      <c r="B274" s="359">
        <f>ROW(A274)</f>
        <v>274</v>
      </c>
      <c r="C274" s="363" t="s">
        <v>118</v>
      </c>
      <c r="D274" s="353">
        <f>SUM(B277:Y277)</f>
        <v>2058.37</v>
      </c>
      <c r="E274" s="363" t="s">
        <v>117</v>
      </c>
      <c r="F274" s="354">
        <f>D274/g/J274</f>
        <v>203.12066731598335</v>
      </c>
      <c r="G274" s="363" t="s">
        <v>59</v>
      </c>
      <c r="H274" s="64">
        <v>1.6850000000000001</v>
      </c>
      <c r="I274" s="363" t="s">
        <v>274</v>
      </c>
      <c r="J274" s="355">
        <f>H274-L274</f>
        <v>1.0329999999999999</v>
      </c>
      <c r="K274" s="363" t="s">
        <v>275</v>
      </c>
      <c r="L274" s="64">
        <v>0.65200000000000002</v>
      </c>
      <c r="M274" s="363" t="s">
        <v>60</v>
      </c>
      <c r="N274" s="65">
        <v>250</v>
      </c>
      <c r="O274" s="363" t="s">
        <v>62</v>
      </c>
      <c r="P274" s="65">
        <v>240</v>
      </c>
      <c r="Q274" s="363" t="s">
        <v>63</v>
      </c>
      <c r="R274" s="65">
        <v>488</v>
      </c>
      <c r="S274" s="363" t="s">
        <v>64</v>
      </c>
      <c r="T274" s="65">
        <v>54</v>
      </c>
      <c r="U274" s="363" t="s">
        <v>57</v>
      </c>
      <c r="V274" s="66" t="s">
        <v>121</v>
      </c>
      <c r="W274" s="12"/>
      <c r="X274" s="12"/>
      <c r="Y274" s="12"/>
    </row>
    <row r="275" spans="1:25" x14ac:dyDescent="0.25">
      <c r="A275" s="362" t="s">
        <v>33</v>
      </c>
      <c r="B275" s="370">
        <v>0</v>
      </c>
      <c r="C275" s="371">
        <v>0.05</v>
      </c>
      <c r="D275" s="371">
        <v>0.5</v>
      </c>
      <c r="E275" s="371">
        <v>1</v>
      </c>
      <c r="F275" s="371">
        <v>1.5</v>
      </c>
      <c r="G275" s="371">
        <v>2</v>
      </c>
      <c r="H275" s="371">
        <v>2.5</v>
      </c>
      <c r="I275" s="371">
        <v>2.97</v>
      </c>
      <c r="J275" s="371">
        <v>3.2</v>
      </c>
      <c r="K275" s="371">
        <v>3.47</v>
      </c>
      <c r="L275" s="371">
        <v>3.59</v>
      </c>
      <c r="M275" s="371">
        <v>3.59</v>
      </c>
      <c r="N275" s="371">
        <v>3.59</v>
      </c>
      <c r="O275" s="371">
        <v>3.59</v>
      </c>
      <c r="P275" s="371">
        <v>3.59</v>
      </c>
      <c r="Q275" s="371">
        <v>3.59</v>
      </c>
      <c r="R275" s="371">
        <v>3.59</v>
      </c>
      <c r="S275" s="371">
        <v>3.59</v>
      </c>
      <c r="T275" s="371">
        <v>3.59</v>
      </c>
      <c r="U275" s="371">
        <v>3.59</v>
      </c>
      <c r="V275" s="371">
        <v>3.59</v>
      </c>
      <c r="W275" s="371">
        <v>3.59</v>
      </c>
      <c r="X275" s="371">
        <v>3.59</v>
      </c>
      <c r="Y275" s="381">
        <v>1000</v>
      </c>
    </row>
    <row r="276" spans="1:25" x14ac:dyDescent="0.25">
      <c r="A276" s="378" t="s">
        <v>34</v>
      </c>
      <c r="B276" s="372">
        <v>0</v>
      </c>
      <c r="C276" s="373">
        <v>893</v>
      </c>
      <c r="D276" s="373">
        <v>798</v>
      </c>
      <c r="E276" s="373">
        <v>739</v>
      </c>
      <c r="F276" s="373">
        <v>659</v>
      </c>
      <c r="G276" s="373">
        <v>586</v>
      </c>
      <c r="H276" s="373">
        <v>513</v>
      </c>
      <c r="I276" s="373">
        <v>417</v>
      </c>
      <c r="J276" s="373">
        <v>225</v>
      </c>
      <c r="K276" s="373">
        <v>67</v>
      </c>
      <c r="L276" s="373">
        <v>0</v>
      </c>
      <c r="M276" s="373">
        <v>0</v>
      </c>
      <c r="N276" s="373">
        <v>0</v>
      </c>
      <c r="O276" s="373">
        <v>0</v>
      </c>
      <c r="P276" s="373">
        <v>0</v>
      </c>
      <c r="Q276" s="373">
        <v>0</v>
      </c>
      <c r="R276" s="373">
        <v>0</v>
      </c>
      <c r="S276" s="373">
        <v>0</v>
      </c>
      <c r="T276" s="373">
        <v>0</v>
      </c>
      <c r="U276" s="373">
        <v>0</v>
      </c>
      <c r="V276" s="373">
        <v>0</v>
      </c>
      <c r="W276" s="373">
        <v>0</v>
      </c>
      <c r="X276" s="373">
        <v>0</v>
      </c>
      <c r="Y276" s="382">
        <v>0</v>
      </c>
    </row>
    <row r="277" spans="1:25" ht="13" thickBot="1" x14ac:dyDescent="0.3">
      <c r="A277" s="380" t="s">
        <v>119</v>
      </c>
      <c r="B277" s="374">
        <f t="shared" ref="B277:V277" si="72">(C276+B276)*(C275-B275)/2</f>
        <v>22.325000000000003</v>
      </c>
      <c r="C277" s="375">
        <f t="shared" si="72"/>
        <v>380.47500000000002</v>
      </c>
      <c r="D277" s="375">
        <f t="shared" si="72"/>
        <v>384.25</v>
      </c>
      <c r="E277" s="375">
        <f t="shared" si="72"/>
        <v>349.5</v>
      </c>
      <c r="F277" s="375">
        <f t="shared" si="72"/>
        <v>311.25</v>
      </c>
      <c r="G277" s="375">
        <f t="shared" si="72"/>
        <v>274.75</v>
      </c>
      <c r="H277" s="375">
        <f t="shared" si="72"/>
        <v>218.5500000000001</v>
      </c>
      <c r="I277" s="375">
        <f t="shared" si="72"/>
        <v>73.83</v>
      </c>
      <c r="J277" s="375">
        <f>(K276+J276)*(K275-J275)/2</f>
        <v>39.42</v>
      </c>
      <c r="K277" s="375">
        <f t="shared" si="72"/>
        <v>4.0199999999999889</v>
      </c>
      <c r="L277" s="375">
        <f t="shared" si="72"/>
        <v>0</v>
      </c>
      <c r="M277" s="375">
        <f t="shared" si="72"/>
        <v>0</v>
      </c>
      <c r="N277" s="375">
        <f t="shared" si="72"/>
        <v>0</v>
      </c>
      <c r="O277" s="375">
        <f t="shared" si="72"/>
        <v>0</v>
      </c>
      <c r="P277" s="375">
        <f t="shared" si="72"/>
        <v>0</v>
      </c>
      <c r="Q277" s="375">
        <f t="shared" si="72"/>
        <v>0</v>
      </c>
      <c r="R277" s="375">
        <f t="shared" si="72"/>
        <v>0</v>
      </c>
      <c r="S277" s="375">
        <f>(T276+S276)*(T275-S275)/2</f>
        <v>0</v>
      </c>
      <c r="T277" s="375">
        <f t="shared" si="72"/>
        <v>0</v>
      </c>
      <c r="U277" s="375">
        <f t="shared" si="72"/>
        <v>0</v>
      </c>
      <c r="V277" s="375">
        <f t="shared" si="72"/>
        <v>0</v>
      </c>
      <c r="W277" s="375">
        <f>(X276+W276)*(X275-W275)/2</f>
        <v>0</v>
      </c>
      <c r="X277" s="375">
        <f>(Y276+X276)*(Y275-X275)/2</f>
        <v>0</v>
      </c>
      <c r="Y277" s="369"/>
    </row>
    <row r="278" spans="1:25" ht="13" thickBot="1" x14ac:dyDescent="0.3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</row>
    <row r="279" spans="1:25" ht="13.5" thickBot="1" x14ac:dyDescent="0.35">
      <c r="A279" s="361" t="s">
        <v>37</v>
      </c>
      <c r="B279" s="359">
        <f>ROW(A279)</f>
        <v>279</v>
      </c>
      <c r="C279" s="363" t="s">
        <v>118</v>
      </c>
      <c r="D279" s="353">
        <f>SUM(B282:Y282)</f>
        <v>2486.041999999999</v>
      </c>
      <c r="E279" s="363" t="s">
        <v>117</v>
      </c>
      <c r="F279" s="354">
        <f>D279/g/J279</f>
        <v>199.54264891200521</v>
      </c>
      <c r="G279" s="363" t="s">
        <v>59</v>
      </c>
      <c r="H279" s="64">
        <v>2.59</v>
      </c>
      <c r="I279" s="363" t="s">
        <v>274</v>
      </c>
      <c r="J279" s="355">
        <f>H279-L279</f>
        <v>1.2699999999999998</v>
      </c>
      <c r="K279" s="363" t="s">
        <v>275</v>
      </c>
      <c r="L279" s="64">
        <v>1.32</v>
      </c>
      <c r="M279" s="363" t="s">
        <v>60</v>
      </c>
      <c r="N279" s="65">
        <v>175</v>
      </c>
      <c r="O279" s="363" t="s">
        <v>62</v>
      </c>
      <c r="P279" s="65">
        <v>175</v>
      </c>
      <c r="Q279" s="363" t="s">
        <v>63</v>
      </c>
      <c r="R279" s="65">
        <v>350</v>
      </c>
      <c r="S279" s="363" t="s">
        <v>64</v>
      </c>
      <c r="T279" s="65">
        <v>75</v>
      </c>
      <c r="U279" s="363" t="s">
        <v>57</v>
      </c>
      <c r="V279" s="66" t="s">
        <v>121</v>
      </c>
      <c r="W279" s="12"/>
      <c r="X279" s="12"/>
      <c r="Y279" s="12"/>
    </row>
    <row r="280" spans="1:25" x14ac:dyDescent="0.25">
      <c r="A280" s="362" t="s">
        <v>33</v>
      </c>
      <c r="B280" s="370">
        <v>0</v>
      </c>
      <c r="C280" s="371">
        <v>0.04</v>
      </c>
      <c r="D280" s="371">
        <v>7.0000000000000007E-2</v>
      </c>
      <c r="E280" s="371">
        <v>0.1</v>
      </c>
      <c r="F280" s="371">
        <v>0.21</v>
      </c>
      <c r="G280" s="371">
        <v>0.35</v>
      </c>
      <c r="H280" s="371">
        <v>0.53</v>
      </c>
      <c r="I280" s="371">
        <v>0.82</v>
      </c>
      <c r="J280" s="371">
        <v>1.18</v>
      </c>
      <c r="K280" s="371">
        <v>1.72</v>
      </c>
      <c r="L280" s="371">
        <v>2.15</v>
      </c>
      <c r="M280" s="371">
        <v>2.39</v>
      </c>
      <c r="N280" s="371">
        <v>2.9</v>
      </c>
      <c r="O280" s="371">
        <v>3.07</v>
      </c>
      <c r="P280" s="371">
        <v>3.56</v>
      </c>
      <c r="Q280" s="371">
        <v>3.98</v>
      </c>
      <c r="R280" s="371">
        <v>4.32</v>
      </c>
      <c r="S280" s="371">
        <v>4.4800000000000004</v>
      </c>
      <c r="T280" s="371">
        <v>4.5999999999999996</v>
      </c>
      <c r="U280" s="371">
        <v>4.6500000000000004</v>
      </c>
      <c r="V280" s="371">
        <v>4.8</v>
      </c>
      <c r="W280" s="371">
        <v>4.83</v>
      </c>
      <c r="X280" s="371">
        <v>4.84</v>
      </c>
      <c r="Y280" s="381">
        <v>1000</v>
      </c>
    </row>
    <row r="281" spans="1:25" x14ac:dyDescent="0.25">
      <c r="A281" s="378" t="s">
        <v>34</v>
      </c>
      <c r="B281" s="372">
        <v>0</v>
      </c>
      <c r="C281" s="373">
        <v>394.4</v>
      </c>
      <c r="D281" s="373">
        <v>617.70000000000005</v>
      </c>
      <c r="E281" s="373">
        <v>645.1</v>
      </c>
      <c r="F281" s="373">
        <v>658.2</v>
      </c>
      <c r="G281" s="373">
        <v>669.2</v>
      </c>
      <c r="H281" s="373">
        <v>667.7</v>
      </c>
      <c r="I281" s="373">
        <v>661.6</v>
      </c>
      <c r="J281" s="373">
        <v>626.9</v>
      </c>
      <c r="K281" s="373">
        <v>588.5</v>
      </c>
      <c r="L281" s="373">
        <v>557.70000000000005</v>
      </c>
      <c r="M281" s="373">
        <v>542.29999999999995</v>
      </c>
      <c r="N281" s="373">
        <v>492.9</v>
      </c>
      <c r="O281" s="373">
        <v>470.3</v>
      </c>
      <c r="P281" s="373">
        <v>426.8</v>
      </c>
      <c r="Q281" s="373">
        <v>399</v>
      </c>
      <c r="R281" s="373">
        <v>394</v>
      </c>
      <c r="S281" s="373">
        <v>380.6</v>
      </c>
      <c r="T281" s="373">
        <v>364.2</v>
      </c>
      <c r="U281" s="373">
        <v>290.89999999999998</v>
      </c>
      <c r="V281" s="373">
        <v>91.2</v>
      </c>
      <c r="W281" s="373">
        <v>45.8</v>
      </c>
      <c r="X281" s="373">
        <v>0</v>
      </c>
      <c r="Y281" s="382">
        <v>0</v>
      </c>
    </row>
    <row r="282" spans="1:25" ht="13" thickBot="1" x14ac:dyDescent="0.3">
      <c r="A282" s="379" t="s">
        <v>119</v>
      </c>
      <c r="B282" s="374">
        <f t="shared" ref="B282:V282" si="73">(C281+B281)*(C280-B280)/2</f>
        <v>7.8879999999999999</v>
      </c>
      <c r="C282" s="375">
        <f t="shared" si="73"/>
        <v>15.181500000000003</v>
      </c>
      <c r="D282" s="375">
        <f t="shared" si="73"/>
        <v>18.942000000000004</v>
      </c>
      <c r="E282" s="375">
        <f t="shared" si="73"/>
        <v>71.6815</v>
      </c>
      <c r="F282" s="375">
        <f t="shared" si="73"/>
        <v>92.917999999999992</v>
      </c>
      <c r="G282" s="375">
        <f t="shared" si="73"/>
        <v>120.32100000000004</v>
      </c>
      <c r="H282" s="375">
        <f t="shared" si="73"/>
        <v>192.74849999999998</v>
      </c>
      <c r="I282" s="375">
        <f t="shared" si="73"/>
        <v>231.92999999999998</v>
      </c>
      <c r="J282" s="375">
        <f>(K281+J281)*(K280-J280)/2</f>
        <v>328.15800000000007</v>
      </c>
      <c r="K282" s="375">
        <f t="shared" si="73"/>
        <v>246.43299999999996</v>
      </c>
      <c r="L282" s="375">
        <f t="shared" si="73"/>
        <v>132.00000000000011</v>
      </c>
      <c r="M282" s="375">
        <f t="shared" si="73"/>
        <v>263.97599999999983</v>
      </c>
      <c r="N282" s="375">
        <f t="shared" si="73"/>
        <v>81.871999999999971</v>
      </c>
      <c r="O282" s="375">
        <f t="shared" si="73"/>
        <v>219.78950000000009</v>
      </c>
      <c r="P282" s="375">
        <f t="shared" si="73"/>
        <v>173.41799999999995</v>
      </c>
      <c r="Q282" s="375">
        <f t="shared" si="73"/>
        <v>134.81000000000012</v>
      </c>
      <c r="R282" s="375">
        <f t="shared" si="73"/>
        <v>61.96800000000006</v>
      </c>
      <c r="S282" s="375">
        <f>(T281+S281)*(T280-S280)/2</f>
        <v>44.687999999999704</v>
      </c>
      <c r="T282" s="375">
        <f t="shared" si="73"/>
        <v>16.377500000000232</v>
      </c>
      <c r="U282" s="375">
        <f t="shared" si="73"/>
        <v>28.657499999999896</v>
      </c>
      <c r="V282" s="375">
        <f t="shared" si="73"/>
        <v>2.055000000000017</v>
      </c>
      <c r="W282" s="375">
        <f>(X281+W281)*(X280-W280)/2</f>
        <v>0.2289999999999951</v>
      </c>
      <c r="X282" s="375">
        <f>(Y281+X281)*(Y280-X280)/2</f>
        <v>0</v>
      </c>
      <c r="Y282" s="369"/>
    </row>
    <row r="283" spans="1:25" ht="13" thickBot="1" x14ac:dyDescent="0.3">
      <c r="A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</row>
    <row r="284" spans="1:25" ht="13.5" thickBot="1" x14ac:dyDescent="0.35">
      <c r="A284" s="361" t="s">
        <v>46</v>
      </c>
      <c r="B284" s="359">
        <f>ROW(A284)</f>
        <v>284</v>
      </c>
      <c r="C284" s="363" t="s">
        <v>118</v>
      </c>
      <c r="D284" s="353">
        <f>SUM(B287:Y287)</f>
        <v>3739.0284999999994</v>
      </c>
      <c r="E284" s="363" t="s">
        <v>117</v>
      </c>
      <c r="F284" s="354">
        <f>D284/g/J284</f>
        <v>203.4941790441234</v>
      </c>
      <c r="G284" s="363" t="s">
        <v>59</v>
      </c>
      <c r="H284" s="64">
        <v>3.5110000000000001</v>
      </c>
      <c r="I284" s="363" t="s">
        <v>274</v>
      </c>
      <c r="J284" s="355">
        <f>H284-L284</f>
        <v>1.8730000000000002</v>
      </c>
      <c r="K284" s="363" t="s">
        <v>275</v>
      </c>
      <c r="L284" s="64">
        <v>1.6379999999999999</v>
      </c>
      <c r="M284" s="363" t="s">
        <v>60</v>
      </c>
      <c r="N284" s="65">
        <v>243</v>
      </c>
      <c r="O284" s="363" t="s">
        <v>62</v>
      </c>
      <c r="P284" s="65">
        <v>243</v>
      </c>
      <c r="Q284" s="363" t="s">
        <v>63</v>
      </c>
      <c r="R284" s="65">
        <v>486</v>
      </c>
      <c r="S284" s="363" t="s">
        <v>64</v>
      </c>
      <c r="T284" s="65">
        <v>75</v>
      </c>
      <c r="U284" s="363" t="s">
        <v>57</v>
      </c>
      <c r="V284" s="66" t="s">
        <v>121</v>
      </c>
      <c r="W284" s="12"/>
      <c r="X284" s="12"/>
      <c r="Y284" s="12"/>
    </row>
    <row r="285" spans="1:25" x14ac:dyDescent="0.25">
      <c r="A285" s="362" t="s">
        <v>33</v>
      </c>
      <c r="B285" s="370">
        <v>0</v>
      </c>
      <c r="C285" s="371">
        <v>0.01</v>
      </c>
      <c r="D285" s="371">
        <v>0.1</v>
      </c>
      <c r="E285" s="371">
        <v>0.12</v>
      </c>
      <c r="F285" s="371">
        <v>0.26</v>
      </c>
      <c r="G285" s="371">
        <v>0.71</v>
      </c>
      <c r="H285" s="371">
        <v>1.28</v>
      </c>
      <c r="I285" s="371">
        <v>2.0499999999999998</v>
      </c>
      <c r="J285" s="371">
        <v>2.41</v>
      </c>
      <c r="K285" s="371">
        <v>2.83</v>
      </c>
      <c r="L285" s="371">
        <v>3.25</v>
      </c>
      <c r="M285" s="371">
        <v>3.65</v>
      </c>
      <c r="N285" s="371">
        <v>3.8</v>
      </c>
      <c r="O285" s="371">
        <v>4</v>
      </c>
      <c r="P285" s="371">
        <v>4.0999999999999996</v>
      </c>
      <c r="Q285" s="371">
        <v>4.1900000000000004</v>
      </c>
      <c r="R285" s="371">
        <v>4.3099999999999996</v>
      </c>
      <c r="S285" s="371">
        <v>4.41</v>
      </c>
      <c r="T285" s="371">
        <v>4.5199999999999996</v>
      </c>
      <c r="U285" s="371">
        <v>4.5999999999999996</v>
      </c>
      <c r="V285" s="371">
        <v>4.6500000000000004</v>
      </c>
      <c r="W285" s="371">
        <v>4.67</v>
      </c>
      <c r="X285" s="371">
        <v>4.68</v>
      </c>
      <c r="Y285" s="381">
        <v>1000</v>
      </c>
    </row>
    <row r="286" spans="1:25" x14ac:dyDescent="0.25">
      <c r="A286" s="378" t="s">
        <v>34</v>
      </c>
      <c r="B286" s="372">
        <v>27</v>
      </c>
      <c r="C286" s="373">
        <v>402.4</v>
      </c>
      <c r="D286" s="373">
        <v>1286</v>
      </c>
      <c r="E286" s="373">
        <v>1257</v>
      </c>
      <c r="F286" s="373">
        <v>1042</v>
      </c>
      <c r="G286" s="373">
        <v>1027</v>
      </c>
      <c r="H286" s="373">
        <v>998.4</v>
      </c>
      <c r="I286" s="373">
        <v>901.4</v>
      </c>
      <c r="J286" s="373">
        <v>849.6</v>
      </c>
      <c r="K286" s="373">
        <v>763.5</v>
      </c>
      <c r="L286" s="373">
        <v>707.1</v>
      </c>
      <c r="M286" s="373">
        <v>655.1</v>
      </c>
      <c r="N286" s="373">
        <v>651.70000000000005</v>
      </c>
      <c r="O286" s="373">
        <v>624.1</v>
      </c>
      <c r="P286" s="373">
        <v>601.29999999999995</v>
      </c>
      <c r="Q286" s="373">
        <v>536.20000000000005</v>
      </c>
      <c r="R286" s="373">
        <v>415.7</v>
      </c>
      <c r="S286" s="373">
        <v>270.2</v>
      </c>
      <c r="T286" s="373">
        <v>140.19999999999999</v>
      </c>
      <c r="U286" s="373">
        <v>76.900000000000006</v>
      </c>
      <c r="V286" s="373">
        <v>54.9</v>
      </c>
      <c r="W286" s="373">
        <v>40.200000000000003</v>
      </c>
      <c r="X286" s="373">
        <v>0</v>
      </c>
      <c r="Y286" s="382">
        <v>0</v>
      </c>
    </row>
    <row r="287" spans="1:25" ht="13" thickBot="1" x14ac:dyDescent="0.3">
      <c r="A287" s="379" t="s">
        <v>119</v>
      </c>
      <c r="B287" s="374">
        <f t="shared" ref="B287:V287" si="74">(C286+B286)*(C285-B285)/2</f>
        <v>2.1469999999999998</v>
      </c>
      <c r="C287" s="375">
        <f t="shared" si="74"/>
        <v>75.978000000000009</v>
      </c>
      <c r="D287" s="375">
        <f t="shared" si="74"/>
        <v>25.429999999999989</v>
      </c>
      <c r="E287" s="375">
        <f t="shared" si="74"/>
        <v>160.93</v>
      </c>
      <c r="F287" s="375">
        <f t="shared" si="74"/>
        <v>465.52499999999998</v>
      </c>
      <c r="G287" s="375">
        <f t="shared" si="74"/>
        <v>577.23900000000003</v>
      </c>
      <c r="H287" s="375">
        <f t="shared" si="74"/>
        <v>731.42299999999977</v>
      </c>
      <c r="I287" s="375">
        <f t="shared" si="74"/>
        <v>315.18000000000029</v>
      </c>
      <c r="J287" s="375">
        <f>(K286+J286)*(K285-J285)/2</f>
        <v>338.75099999999992</v>
      </c>
      <c r="K287" s="375">
        <f t="shared" si="74"/>
        <v>308.82599999999991</v>
      </c>
      <c r="L287" s="375">
        <f t="shared" si="74"/>
        <v>272.43999999999994</v>
      </c>
      <c r="M287" s="375">
        <f t="shared" si="74"/>
        <v>98.009999999999962</v>
      </c>
      <c r="N287" s="375">
        <f t="shared" si="74"/>
        <v>127.58000000000013</v>
      </c>
      <c r="O287" s="375">
        <f t="shared" si="74"/>
        <v>61.26999999999979</v>
      </c>
      <c r="P287" s="375">
        <f t="shared" si="74"/>
        <v>51.187500000000426</v>
      </c>
      <c r="Q287" s="375">
        <f t="shared" si="74"/>
        <v>57.113999999999635</v>
      </c>
      <c r="R287" s="375">
        <f t="shared" si="74"/>
        <v>34.295000000000179</v>
      </c>
      <c r="S287" s="375">
        <f>(T286+S286)*(T285-S285)/2</f>
        <v>22.571999999999882</v>
      </c>
      <c r="T287" s="375">
        <f t="shared" si="74"/>
        <v>8.6840000000000082</v>
      </c>
      <c r="U287" s="375">
        <f t="shared" si="74"/>
        <v>3.295000000000047</v>
      </c>
      <c r="V287" s="375">
        <f t="shared" si="74"/>
        <v>0.95099999999997964</v>
      </c>
      <c r="W287" s="375">
        <f>(X286+W286)*(X285-W285)/2</f>
        <v>0.20099999999999574</v>
      </c>
      <c r="X287" s="375">
        <f>(Y286+X286)*(Y285-X285)/2</f>
        <v>0</v>
      </c>
      <c r="Y287" s="369"/>
    </row>
    <row r="288" spans="1:25" ht="13" thickBot="1" x14ac:dyDescent="0.3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</row>
    <row r="289" spans="1:25" ht="13.5" thickBot="1" x14ac:dyDescent="0.35">
      <c r="A289" s="361" t="s">
        <v>321</v>
      </c>
      <c r="B289" s="359">
        <f>ROW(A289)</f>
        <v>289</v>
      </c>
      <c r="C289" s="363" t="s">
        <v>118</v>
      </c>
      <c r="D289" s="353">
        <f>SUM(B292:Y292)</f>
        <v>5322.2813159999996</v>
      </c>
      <c r="E289" s="363" t="s">
        <v>117</v>
      </c>
      <c r="F289" s="354">
        <f>D289/g/J289</f>
        <v>210.04116210318938</v>
      </c>
      <c r="G289" s="363" t="s">
        <v>59</v>
      </c>
      <c r="H289" s="64">
        <v>4.9770000000000003</v>
      </c>
      <c r="I289" s="363" t="s">
        <v>274</v>
      </c>
      <c r="J289" s="355">
        <f>H289-L289</f>
        <v>2.5830000000000002</v>
      </c>
      <c r="K289" s="363" t="s">
        <v>275</v>
      </c>
      <c r="L289" s="64">
        <v>2.3940000000000001</v>
      </c>
      <c r="M289" s="363" t="s">
        <v>60</v>
      </c>
      <c r="N289" s="65">
        <v>197</v>
      </c>
      <c r="O289" s="363" t="s">
        <v>62</v>
      </c>
      <c r="P289" s="65">
        <v>197</v>
      </c>
      <c r="Q289" s="363" t="s">
        <v>63</v>
      </c>
      <c r="R289" s="65">
        <v>394</v>
      </c>
      <c r="S289" s="363" t="s">
        <v>64</v>
      </c>
      <c r="T289" s="65">
        <v>98</v>
      </c>
      <c r="U289" s="363" t="s">
        <v>57</v>
      </c>
      <c r="V289" s="66" t="s">
        <v>121</v>
      </c>
      <c r="W289" s="12"/>
      <c r="X289" s="12"/>
      <c r="Y289" s="12"/>
    </row>
    <row r="290" spans="1:25" x14ac:dyDescent="0.25">
      <c r="A290" s="362" t="s">
        <v>33</v>
      </c>
      <c r="B290" s="370">
        <v>0</v>
      </c>
      <c r="C290" s="371">
        <v>3.6999999999999998E-2</v>
      </c>
      <c r="D290" s="371">
        <v>0.121</v>
      </c>
      <c r="E290" s="371">
        <v>0.32800000000000001</v>
      </c>
      <c r="F290" s="371">
        <v>1.2989999999999999</v>
      </c>
      <c r="G290" s="371">
        <v>1.5449999999999999</v>
      </c>
      <c r="H290" s="371">
        <v>1.7969999999999999</v>
      </c>
      <c r="I290" s="371">
        <v>1.998</v>
      </c>
      <c r="J290" s="371">
        <v>2.2080000000000002</v>
      </c>
      <c r="K290" s="371">
        <v>2.4620000000000002</v>
      </c>
      <c r="L290" s="371">
        <v>2.782</v>
      </c>
      <c r="M290" s="371">
        <v>3.0859999999999999</v>
      </c>
      <c r="N290" s="371">
        <v>3.2130000000000001</v>
      </c>
      <c r="O290" s="371">
        <v>3.258</v>
      </c>
      <c r="P290" s="371">
        <v>3.3279999999999998</v>
      </c>
      <c r="Q290" s="371">
        <v>3.383</v>
      </c>
      <c r="R290" s="371">
        <v>3.4279999999999999</v>
      </c>
      <c r="S290" s="371">
        <v>3.5</v>
      </c>
      <c r="T290" s="371">
        <v>3.5</v>
      </c>
      <c r="U290" s="371">
        <v>3.5</v>
      </c>
      <c r="V290" s="371">
        <v>3.5</v>
      </c>
      <c r="W290" s="371">
        <v>3.5</v>
      </c>
      <c r="X290" s="371">
        <v>3.5</v>
      </c>
      <c r="Y290" s="381">
        <v>1000</v>
      </c>
    </row>
    <row r="291" spans="1:25" x14ac:dyDescent="0.25">
      <c r="A291" s="378" t="s">
        <v>34</v>
      </c>
      <c r="B291" s="372">
        <v>0</v>
      </c>
      <c r="C291" s="373">
        <v>1474.12</v>
      </c>
      <c r="D291" s="373">
        <v>1436.5</v>
      </c>
      <c r="E291" s="373">
        <v>1523.49</v>
      </c>
      <c r="F291" s="373">
        <v>1775.06</v>
      </c>
      <c r="G291" s="373">
        <v>1807.97</v>
      </c>
      <c r="H291" s="373">
        <v>1807.97</v>
      </c>
      <c r="I291" s="373">
        <v>1786.81</v>
      </c>
      <c r="J291" s="373">
        <v>1737.44</v>
      </c>
      <c r="K291" s="373">
        <v>1572.86</v>
      </c>
      <c r="L291" s="373">
        <v>1415.34</v>
      </c>
      <c r="M291" s="373">
        <v>1309.55</v>
      </c>
      <c r="N291" s="373">
        <v>1290.74</v>
      </c>
      <c r="O291" s="373">
        <v>1309.55</v>
      </c>
      <c r="P291" s="373">
        <v>679.45899999999995</v>
      </c>
      <c r="Q291" s="373">
        <v>173.97900000000001</v>
      </c>
      <c r="R291" s="373">
        <v>68.180999999999997</v>
      </c>
      <c r="S291" s="373">
        <v>0</v>
      </c>
      <c r="T291" s="373">
        <v>0</v>
      </c>
      <c r="U291" s="373">
        <v>0</v>
      </c>
      <c r="V291" s="373">
        <v>0</v>
      </c>
      <c r="W291" s="373">
        <v>0</v>
      </c>
      <c r="X291" s="373">
        <v>0</v>
      </c>
      <c r="Y291" s="382">
        <v>0</v>
      </c>
    </row>
    <row r="292" spans="1:25" ht="13" thickBot="1" x14ac:dyDescent="0.3">
      <c r="A292" s="379" t="s">
        <v>119</v>
      </c>
      <c r="B292" s="374">
        <f t="shared" ref="B292:X292" si="75">(C291+B291)*(C290-B290)/2</f>
        <v>27.271219999999996</v>
      </c>
      <c r="C292" s="375">
        <f t="shared" si="75"/>
        <v>122.24603999999998</v>
      </c>
      <c r="D292" s="375">
        <f t="shared" si="75"/>
        <v>306.35896500000001</v>
      </c>
      <c r="E292" s="375">
        <f t="shared" si="75"/>
        <v>1601.446025</v>
      </c>
      <c r="F292" s="375">
        <f t="shared" si="75"/>
        <v>440.71268999999995</v>
      </c>
      <c r="G292" s="375">
        <f t="shared" si="75"/>
        <v>455.60844000000003</v>
      </c>
      <c r="H292" s="375">
        <f t="shared" si="75"/>
        <v>361.27539000000007</v>
      </c>
      <c r="I292" s="375">
        <f t="shared" si="75"/>
        <v>370.04625000000033</v>
      </c>
      <c r="J292" s="375">
        <f t="shared" si="75"/>
        <v>420.40810000000005</v>
      </c>
      <c r="K292" s="375">
        <f t="shared" si="75"/>
        <v>478.11199999999974</v>
      </c>
      <c r="L292" s="375">
        <f t="shared" si="75"/>
        <v>414.18327999999974</v>
      </c>
      <c r="M292" s="375">
        <f t="shared" si="75"/>
        <v>165.11841500000028</v>
      </c>
      <c r="N292" s="375">
        <f t="shared" si="75"/>
        <v>58.506524999999904</v>
      </c>
      <c r="O292" s="375">
        <f t="shared" si="75"/>
        <v>69.615314999999839</v>
      </c>
      <c r="P292" s="375">
        <f t="shared" si="75"/>
        <v>23.469545000000068</v>
      </c>
      <c r="Q292" s="375">
        <f t="shared" si="75"/>
        <v>5.4485999999999919</v>
      </c>
      <c r="R292" s="375">
        <f t="shared" si="75"/>
        <v>2.4545160000000021</v>
      </c>
      <c r="S292" s="375">
        <f t="shared" si="75"/>
        <v>0</v>
      </c>
      <c r="T292" s="375">
        <f t="shared" si="75"/>
        <v>0</v>
      </c>
      <c r="U292" s="375">
        <f t="shared" si="75"/>
        <v>0</v>
      </c>
      <c r="V292" s="375">
        <f t="shared" si="75"/>
        <v>0</v>
      </c>
      <c r="W292" s="375">
        <f t="shared" si="75"/>
        <v>0</v>
      </c>
      <c r="X292" s="375">
        <f t="shared" si="75"/>
        <v>0</v>
      </c>
      <c r="Y292" s="369"/>
    </row>
    <row r="293" spans="1:25" ht="13" thickBot="1" x14ac:dyDescent="0.3">
      <c r="A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</row>
    <row r="294" spans="1:25" ht="13.5" thickBot="1" x14ac:dyDescent="0.35">
      <c r="A294" s="361" t="s">
        <v>322</v>
      </c>
      <c r="B294" s="359">
        <f>ROW(A294)</f>
        <v>294</v>
      </c>
      <c r="C294" s="363" t="s">
        <v>118</v>
      </c>
      <c r="D294" s="353">
        <f>SUM(B297:Y297)</f>
        <v>7412.4371409999985</v>
      </c>
      <c r="E294" s="363" t="s">
        <v>117</v>
      </c>
      <c r="F294" s="354">
        <f>D294/g/J294</f>
        <v>223.28608637999045</v>
      </c>
      <c r="G294" s="363" t="s">
        <v>59</v>
      </c>
      <c r="H294" s="64">
        <v>6.25</v>
      </c>
      <c r="I294" s="363" t="s">
        <v>274</v>
      </c>
      <c r="J294" s="355">
        <f>H294-L294</f>
        <v>3.3839999999999999</v>
      </c>
      <c r="K294" s="363" t="s">
        <v>275</v>
      </c>
      <c r="L294" s="64">
        <v>2.8660000000000001</v>
      </c>
      <c r="M294" s="363" t="s">
        <v>60</v>
      </c>
      <c r="N294" s="65">
        <v>290</v>
      </c>
      <c r="O294" s="363" t="s">
        <v>62</v>
      </c>
      <c r="P294" s="65">
        <v>290</v>
      </c>
      <c r="Q294" s="363" t="s">
        <v>63</v>
      </c>
      <c r="R294" s="65">
        <v>579</v>
      </c>
      <c r="S294" s="363" t="s">
        <v>64</v>
      </c>
      <c r="T294" s="65">
        <v>98</v>
      </c>
      <c r="U294" s="363" t="s">
        <v>57</v>
      </c>
      <c r="V294" s="66" t="s">
        <v>121</v>
      </c>
      <c r="W294" s="12"/>
      <c r="X294" s="12"/>
      <c r="Y294" s="12"/>
    </row>
    <row r="295" spans="1:25" x14ac:dyDescent="0.25">
      <c r="A295" s="362" t="s">
        <v>33</v>
      </c>
      <c r="B295" s="370">
        <v>0</v>
      </c>
      <c r="C295" s="371">
        <v>1.7000000000000001E-2</v>
      </c>
      <c r="D295" s="371">
        <v>5.1999999999999998E-2</v>
      </c>
      <c r="E295" s="371">
        <v>8.7999999999999995E-2</v>
      </c>
      <c r="F295" s="371">
        <v>0.108</v>
      </c>
      <c r="G295" s="371">
        <v>0.127</v>
      </c>
      <c r="H295" s="371">
        <v>0.17399999999999999</v>
      </c>
      <c r="I295" s="371">
        <v>0.25700000000000001</v>
      </c>
      <c r="J295" s="371">
        <v>0.40300000000000002</v>
      </c>
      <c r="K295" s="371">
        <v>0.76200000000000001</v>
      </c>
      <c r="L295" s="371">
        <v>0.97699999999999998</v>
      </c>
      <c r="M295" s="371">
        <v>1.341</v>
      </c>
      <c r="N295" s="371">
        <v>1.5009999999999999</v>
      </c>
      <c r="O295" s="371">
        <v>1.661</v>
      </c>
      <c r="P295" s="371">
        <v>1.96</v>
      </c>
      <c r="Q295" s="371">
        <v>2.4039999999999999</v>
      </c>
      <c r="R295" s="371">
        <v>2.641</v>
      </c>
      <c r="S295" s="371">
        <v>2.7160000000000002</v>
      </c>
      <c r="T295" s="371">
        <v>2.8210000000000002</v>
      </c>
      <c r="U295" s="371">
        <v>2.8919999999999999</v>
      </c>
      <c r="V295" s="371">
        <v>2.92</v>
      </c>
      <c r="W295" s="371">
        <v>2.97</v>
      </c>
      <c r="X295" s="371">
        <v>3</v>
      </c>
      <c r="Y295" s="381">
        <v>1000</v>
      </c>
    </row>
    <row r="296" spans="1:25" x14ac:dyDescent="0.25">
      <c r="A296" s="378" t="s">
        <v>34</v>
      </c>
      <c r="B296" s="372">
        <v>0</v>
      </c>
      <c r="C296" s="373">
        <v>329.84699999999998</v>
      </c>
      <c r="D296" s="373">
        <v>1003.68</v>
      </c>
      <c r="E296" s="373">
        <v>2346.62</v>
      </c>
      <c r="F296" s="373">
        <v>2549.2399999999998</v>
      </c>
      <c r="G296" s="373">
        <v>2605.79</v>
      </c>
      <c r="H296" s="373">
        <v>2520.9699999999998</v>
      </c>
      <c r="I296" s="373">
        <v>2516.2600000000002</v>
      </c>
      <c r="J296" s="373">
        <v>2596.37</v>
      </c>
      <c r="K296" s="373">
        <v>2808.41</v>
      </c>
      <c r="L296" s="373">
        <v>2954.49</v>
      </c>
      <c r="M296" s="373">
        <v>2959.2</v>
      </c>
      <c r="N296" s="373">
        <v>2907.36</v>
      </c>
      <c r="O296" s="373">
        <v>2869.67</v>
      </c>
      <c r="P296" s="373">
        <v>2695.32</v>
      </c>
      <c r="Q296" s="373">
        <v>2351.34</v>
      </c>
      <c r="R296" s="373">
        <v>2228.8200000000002</v>
      </c>
      <c r="S296" s="373">
        <v>2007.35</v>
      </c>
      <c r="T296" s="373">
        <v>1427.77</v>
      </c>
      <c r="U296" s="373">
        <v>504.19400000000002</v>
      </c>
      <c r="V296" s="373">
        <v>334.55900000000003</v>
      </c>
      <c r="W296" s="373">
        <v>122.515</v>
      </c>
      <c r="X296" s="373">
        <v>0</v>
      </c>
      <c r="Y296" s="382">
        <v>0</v>
      </c>
    </row>
    <row r="297" spans="1:25" ht="13" thickBot="1" x14ac:dyDescent="0.3">
      <c r="A297" s="379" t="s">
        <v>119</v>
      </c>
      <c r="B297" s="374">
        <f t="shared" ref="B297:X297" si="76">(C296+B296)*(C295-B295)/2</f>
        <v>2.8036995</v>
      </c>
      <c r="C297" s="375">
        <f t="shared" si="76"/>
        <v>23.336722499999997</v>
      </c>
      <c r="D297" s="375">
        <f t="shared" si="76"/>
        <v>60.305399999999992</v>
      </c>
      <c r="E297" s="375">
        <f t="shared" si="76"/>
        <v>48.958600000000004</v>
      </c>
      <c r="F297" s="375">
        <f t="shared" si="76"/>
        <v>48.972785000000002</v>
      </c>
      <c r="G297" s="375">
        <f t="shared" si="76"/>
        <v>120.47885999999997</v>
      </c>
      <c r="H297" s="375">
        <f t="shared" si="76"/>
        <v>209.04504500000002</v>
      </c>
      <c r="I297" s="375">
        <f t="shared" si="76"/>
        <v>373.22199000000006</v>
      </c>
      <c r="J297" s="375">
        <f t="shared" si="76"/>
        <v>970.15800999999988</v>
      </c>
      <c r="K297" s="375">
        <f t="shared" si="76"/>
        <v>619.51174999999989</v>
      </c>
      <c r="L297" s="375">
        <f t="shared" si="76"/>
        <v>1076.2915799999998</v>
      </c>
      <c r="M297" s="375">
        <f t="shared" si="76"/>
        <v>469.3247999999997</v>
      </c>
      <c r="N297" s="375">
        <f t="shared" si="76"/>
        <v>462.16240000000045</v>
      </c>
      <c r="O297" s="375">
        <f t="shared" si="76"/>
        <v>831.96600499999977</v>
      </c>
      <c r="P297" s="375">
        <f t="shared" si="76"/>
        <v>1120.3585199999998</v>
      </c>
      <c r="Q297" s="375">
        <f t="shared" si="76"/>
        <v>542.74896000000024</v>
      </c>
      <c r="R297" s="375">
        <f t="shared" si="76"/>
        <v>158.85637500000038</v>
      </c>
      <c r="S297" s="375">
        <f t="shared" si="76"/>
        <v>180.34379999999996</v>
      </c>
      <c r="T297" s="375">
        <f t="shared" si="76"/>
        <v>68.584721999999744</v>
      </c>
      <c r="U297" s="375">
        <f t="shared" si="76"/>
        <v>11.742542000000011</v>
      </c>
      <c r="V297" s="375">
        <f t="shared" si="76"/>
        <v>11.42685000000006</v>
      </c>
      <c r="W297" s="375">
        <f t="shared" si="76"/>
        <v>1.8377249999999881</v>
      </c>
      <c r="X297" s="375">
        <f t="shared" si="76"/>
        <v>0</v>
      </c>
      <c r="Y297" s="369"/>
    </row>
    <row r="298" spans="1:25" ht="13" thickBot="1" x14ac:dyDescent="0.3"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</row>
    <row r="299" spans="1:25" ht="13.5" thickBot="1" x14ac:dyDescent="0.35">
      <c r="A299" s="361" t="s">
        <v>47</v>
      </c>
      <c r="B299" s="359">
        <f>ROW(A299)</f>
        <v>299</v>
      </c>
      <c r="C299" s="363" t="s">
        <v>118</v>
      </c>
      <c r="D299" s="353">
        <f>SUM(B302:Y302)</f>
        <v>1E-3</v>
      </c>
      <c r="E299" s="363" t="s">
        <v>117</v>
      </c>
      <c r="F299" s="354">
        <f>D299/g/J299</f>
        <v>1.019367991845056</v>
      </c>
      <c r="G299" s="363" t="s">
        <v>59</v>
      </c>
      <c r="H299" s="64">
        <v>1E-4</v>
      </c>
      <c r="I299" s="363" t="s">
        <v>274</v>
      </c>
      <c r="J299" s="355">
        <f>H299-L299</f>
        <v>1E-4</v>
      </c>
      <c r="K299" s="363" t="s">
        <v>275</v>
      </c>
      <c r="L299" s="64">
        <v>0</v>
      </c>
      <c r="M299" s="363" t="s">
        <v>60</v>
      </c>
      <c r="N299" s="65">
        <v>0</v>
      </c>
      <c r="O299" s="363" t="s">
        <v>62</v>
      </c>
      <c r="P299" s="65">
        <v>0</v>
      </c>
      <c r="Q299" s="363" t="s">
        <v>63</v>
      </c>
      <c r="R299" s="65">
        <v>0</v>
      </c>
      <c r="S299" s="363" t="s">
        <v>64</v>
      </c>
      <c r="T299" s="65">
        <v>0</v>
      </c>
      <c r="U299" s="363" t="s">
        <v>57</v>
      </c>
      <c r="V299" s="66" t="s">
        <v>121</v>
      </c>
      <c r="W299" s="12"/>
      <c r="X299" s="12"/>
      <c r="Y299" s="12"/>
    </row>
    <row r="300" spans="1:25" x14ac:dyDescent="0.25">
      <c r="A300" s="362" t="s">
        <v>33</v>
      </c>
      <c r="B300" s="370">
        <v>0</v>
      </c>
      <c r="C300" s="371">
        <v>0.1</v>
      </c>
      <c r="D300" s="371">
        <v>0.2</v>
      </c>
      <c r="E300" s="371">
        <v>1</v>
      </c>
      <c r="F300" s="371">
        <v>1</v>
      </c>
      <c r="G300" s="371">
        <v>1</v>
      </c>
      <c r="H300" s="371">
        <v>1</v>
      </c>
      <c r="I300" s="371">
        <v>1</v>
      </c>
      <c r="J300" s="371">
        <v>1</v>
      </c>
      <c r="K300" s="371">
        <v>1</v>
      </c>
      <c r="L300" s="371">
        <v>1</v>
      </c>
      <c r="M300" s="371">
        <v>1</v>
      </c>
      <c r="N300" s="371">
        <v>1</v>
      </c>
      <c r="O300" s="371">
        <v>1</v>
      </c>
      <c r="P300" s="371">
        <v>1</v>
      </c>
      <c r="Q300" s="371">
        <v>1</v>
      </c>
      <c r="R300" s="371">
        <v>1</v>
      </c>
      <c r="S300" s="371">
        <v>1</v>
      </c>
      <c r="T300" s="371">
        <v>1</v>
      </c>
      <c r="U300" s="371">
        <v>1</v>
      </c>
      <c r="V300" s="371">
        <v>1</v>
      </c>
      <c r="W300" s="371">
        <v>1</v>
      </c>
      <c r="X300" s="371">
        <v>1</v>
      </c>
      <c r="Y300" s="381">
        <v>1000</v>
      </c>
    </row>
    <row r="301" spans="1:25" x14ac:dyDescent="0.25">
      <c r="A301" s="378" t="s">
        <v>34</v>
      </c>
      <c r="B301" s="372">
        <v>0</v>
      </c>
      <c r="C301" s="373">
        <v>0.01</v>
      </c>
      <c r="D301" s="373">
        <v>0</v>
      </c>
      <c r="E301" s="373">
        <v>0</v>
      </c>
      <c r="F301" s="373">
        <v>0</v>
      </c>
      <c r="G301" s="373">
        <v>0</v>
      </c>
      <c r="H301" s="373">
        <v>0</v>
      </c>
      <c r="I301" s="373">
        <v>0</v>
      </c>
      <c r="J301" s="373">
        <v>0</v>
      </c>
      <c r="K301" s="373">
        <v>0</v>
      </c>
      <c r="L301" s="373">
        <v>0</v>
      </c>
      <c r="M301" s="373">
        <v>0</v>
      </c>
      <c r="N301" s="373">
        <v>0</v>
      </c>
      <c r="O301" s="373">
        <v>0</v>
      </c>
      <c r="P301" s="373">
        <v>0</v>
      </c>
      <c r="Q301" s="373">
        <v>0</v>
      </c>
      <c r="R301" s="373">
        <v>0</v>
      </c>
      <c r="S301" s="373">
        <v>0</v>
      </c>
      <c r="T301" s="373">
        <v>0</v>
      </c>
      <c r="U301" s="373">
        <v>0</v>
      </c>
      <c r="V301" s="373">
        <v>0</v>
      </c>
      <c r="W301" s="373">
        <v>0</v>
      </c>
      <c r="X301" s="373">
        <v>0</v>
      </c>
      <c r="Y301" s="382">
        <v>0</v>
      </c>
    </row>
    <row r="302" spans="1:25" ht="13" thickBot="1" x14ac:dyDescent="0.3">
      <c r="A302" s="379" t="s">
        <v>119</v>
      </c>
      <c r="B302" s="374">
        <f t="shared" ref="B302:G302" si="77">(C301+B301)*(C300-B300)/2</f>
        <v>5.0000000000000001E-4</v>
      </c>
      <c r="C302" s="375">
        <f t="shared" si="77"/>
        <v>5.0000000000000001E-4</v>
      </c>
      <c r="D302" s="375">
        <f t="shared" si="77"/>
        <v>0</v>
      </c>
      <c r="E302" s="375">
        <f t="shared" si="77"/>
        <v>0</v>
      </c>
      <c r="F302" s="375">
        <f t="shared" si="77"/>
        <v>0</v>
      </c>
      <c r="G302" s="375">
        <f t="shared" si="77"/>
        <v>0</v>
      </c>
      <c r="H302" s="375">
        <f t="shared" ref="H302:V302" si="78">(I301+H301)*(I300-H300)/2</f>
        <v>0</v>
      </c>
      <c r="I302" s="375">
        <f t="shared" si="78"/>
        <v>0</v>
      </c>
      <c r="J302" s="375">
        <f>(K301+J301)*(K300-J300)/2</f>
        <v>0</v>
      </c>
      <c r="K302" s="375">
        <f t="shared" si="78"/>
        <v>0</v>
      </c>
      <c r="L302" s="375">
        <f t="shared" si="78"/>
        <v>0</v>
      </c>
      <c r="M302" s="375">
        <f t="shared" si="78"/>
        <v>0</v>
      </c>
      <c r="N302" s="375">
        <f t="shared" si="78"/>
        <v>0</v>
      </c>
      <c r="O302" s="375">
        <f t="shared" si="78"/>
        <v>0</v>
      </c>
      <c r="P302" s="375">
        <f t="shared" si="78"/>
        <v>0</v>
      </c>
      <c r="Q302" s="375">
        <f t="shared" si="78"/>
        <v>0</v>
      </c>
      <c r="R302" s="375">
        <f t="shared" si="78"/>
        <v>0</v>
      </c>
      <c r="S302" s="375">
        <f>(T301+S301)*(T300-S300)/2</f>
        <v>0</v>
      </c>
      <c r="T302" s="375">
        <f t="shared" si="78"/>
        <v>0</v>
      </c>
      <c r="U302" s="375">
        <f t="shared" si="78"/>
        <v>0</v>
      </c>
      <c r="V302" s="375">
        <f t="shared" si="78"/>
        <v>0</v>
      </c>
      <c r="W302" s="375">
        <f>(X301+W301)*(X300-W300)/2</f>
        <v>0</v>
      </c>
      <c r="X302" s="375">
        <f>(Y301+X301)*(Y300-X300)/2</f>
        <v>0</v>
      </c>
      <c r="Y302" s="369"/>
    </row>
    <row r="304" spans="1:25" x14ac:dyDescent="0.25"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</row>
    <row r="306" spans="1:19" x14ac:dyDescent="0.25">
      <c r="A306" s="397" t="str">
        <f>IF(Lang="Français","Liste des propu affichés :","Motor list (shown):")</f>
        <v>Liste des propu affichés :</v>
      </c>
      <c r="C306" s="639" t="s">
        <v>279</v>
      </c>
      <c r="D306" s="640"/>
      <c r="F306" s="639" t="s">
        <v>184</v>
      </c>
      <c r="G306" s="640"/>
      <c r="H306" s="12"/>
      <c r="I306" s="639" t="s">
        <v>401</v>
      </c>
      <c r="J306" s="640"/>
      <c r="K306" s="12"/>
      <c r="L306" s="639" t="s">
        <v>185</v>
      </c>
      <c r="M306" s="640"/>
      <c r="O306" s="639" t="s">
        <v>400</v>
      </c>
      <c r="P306" s="640"/>
      <c r="R306" s="639" t="s">
        <v>121</v>
      </c>
      <c r="S306" s="640"/>
    </row>
    <row r="307" spans="1:19" x14ac:dyDescent="0.25">
      <c r="A307" s="398" t="str">
        <f t="array" ref="A307:A336">IF(RIGHT(Type_fusee,1)=".",Liste_fusex, IF(LEFT(Type_fusee,4)="Mini",Liste_minif, IF(LEFT(Type_fusee,5)="Micro",Liste_µfu, IF(RIGHT(Type_fusee,1)=" ",Liste_H2O, IF(LEFT(Type_fusee,1)="R",Liste_RC, IF(LEFT(Type_fusee,1)=",",Liste_minifT))))))</f>
        <v>Barasinga (Pro54-5G)</v>
      </c>
      <c r="C307" s="632" t="str">
        <f>A26</f>
        <v>H2O 1.5L 300g 6bar</v>
      </c>
      <c r="D307" s="633"/>
      <c r="F307" s="632" t="str">
        <f>A67</f>
        <v>µ-propu A8-3</v>
      </c>
      <c r="G307" s="633"/>
      <c r="H307" s="473"/>
      <c r="I307" s="630" t="str">
        <f>A133</f>
        <v>p29-1G 41F36</v>
      </c>
      <c r="J307" s="631"/>
      <c r="K307" s="473"/>
      <c r="L307" s="630" t="str">
        <f>A113</f>
        <v>p24-1G 25E75 (Rufina)</v>
      </c>
      <c r="M307" s="631"/>
      <c r="O307" s="632" t="str">
        <f>A108</f>
        <v>p24-1G 24E22</v>
      </c>
      <c r="P307" s="633"/>
      <c r="R307" s="632" t="str">
        <f>A274</f>
        <v>Barasinga (Pro54-5G)</v>
      </c>
      <c r="S307" s="633"/>
    </row>
    <row r="308" spans="1:19" x14ac:dyDescent="0.25">
      <c r="A308" s="398" t="str">
        <v>Orignal (Pro75-3G)</v>
      </c>
      <c r="C308" s="632" t="str">
        <f>A31</f>
        <v>H2O 1.5L 450g 6bar</v>
      </c>
      <c r="D308" s="633"/>
      <c r="F308" s="632" t="str">
        <f>A72</f>
        <v>µ-propu B4-4</v>
      </c>
      <c r="G308" s="633"/>
      <c r="H308" s="473"/>
      <c r="I308" s="630" t="str">
        <f>A138</f>
        <v>p29-1G 51F36</v>
      </c>
      <c r="J308" s="631"/>
      <c r="K308" s="473"/>
      <c r="L308" s="630" t="str">
        <f>A148</f>
        <v>p29-1G 56F120</v>
      </c>
      <c r="M308" s="631"/>
      <c r="O308" s="632" t="str">
        <f>A113</f>
        <v>p24-1G 25E75 (Rufina)</v>
      </c>
      <c r="P308" s="633"/>
      <c r="R308" s="632" t="str">
        <f>A284</f>
        <v>Orignal (Pro75-3G)</v>
      </c>
      <c r="S308" s="633"/>
    </row>
    <row r="309" spans="1:19" x14ac:dyDescent="0.25">
      <c r="A309" s="398" t="str">
        <v xml:space="preserve"> </v>
      </c>
      <c r="C309" s="632" t="str">
        <f>A36</f>
        <v>H2O 1.5L 600g 6bar</v>
      </c>
      <c r="D309" s="633"/>
      <c r="F309" s="632" t="str">
        <f>A77</f>
        <v>µ-propu C6-3</v>
      </c>
      <c r="G309" s="633"/>
      <c r="H309" s="473"/>
      <c r="I309" s="630" t="str">
        <f>A143</f>
        <v>p29-1G 55F29</v>
      </c>
      <c r="J309" s="631"/>
      <c r="K309" s="473"/>
      <c r="L309" s="630" t="str">
        <f>A218</f>
        <v>p29-2G 110G250</v>
      </c>
      <c r="M309" s="631"/>
      <c r="O309" s="632" t="str">
        <f>A118</f>
        <v>p24-1G 26E31</v>
      </c>
      <c r="P309" s="633"/>
      <c r="R309" s="632" t="s">
        <v>186</v>
      </c>
      <c r="S309" s="633"/>
    </row>
    <row r="310" spans="1:19" x14ac:dyDescent="0.25">
      <c r="A310" s="398" t="str">
        <v xml:space="preserve"> </v>
      </c>
      <c r="C310" s="632" t="str">
        <f>A41</f>
        <v>H2O 1.5L 750g 6bar</v>
      </c>
      <c r="D310" s="633"/>
      <c r="F310" s="632" t="str">
        <f>A82</f>
        <v>µ-propu C6-3 x2</v>
      </c>
      <c r="G310" s="633"/>
      <c r="H310" s="473"/>
      <c r="I310" s="630" t="str">
        <f>A148</f>
        <v>p29-1G 56F120</v>
      </c>
      <c r="J310" s="631"/>
      <c r="K310" s="473"/>
      <c r="L310" s="630" t="str">
        <f>A258</f>
        <v>Cariacou</v>
      </c>
      <c r="M310" s="631"/>
      <c r="O310" s="632" t="str">
        <f>A123</f>
        <v>p24-2G 50E51</v>
      </c>
      <c r="P310" s="633"/>
      <c r="R310" s="632" t="s">
        <v>186</v>
      </c>
      <c r="S310" s="633"/>
    </row>
    <row r="311" spans="1:19" x14ac:dyDescent="0.25">
      <c r="A311" s="398" t="str">
        <v xml:space="preserve"> </v>
      </c>
      <c r="C311" s="632" t="str">
        <f>A46</f>
        <v>H2O 2.0L 400g 6bar</v>
      </c>
      <c r="D311" s="633"/>
      <c r="F311" s="632" t="str">
        <f>A87</f>
        <v>µ-propu C6-3 x3</v>
      </c>
      <c r="G311" s="633"/>
      <c r="H311" s="473"/>
      <c r="I311" s="630" t="str">
        <f>A153</f>
        <v>p29-1G 57F59</v>
      </c>
      <c r="J311" s="631"/>
      <c r="K311" s="473"/>
      <c r="L311" s="630" t="str">
        <f>A193</f>
        <v>Pandora</v>
      </c>
      <c r="M311" s="631"/>
      <c r="O311" s="632" t="str">
        <f>A128</f>
        <v>p24-1G 53E70</v>
      </c>
      <c r="P311" s="633"/>
      <c r="R311" s="632" t="s">
        <v>186</v>
      </c>
      <c r="S311" s="633"/>
    </row>
    <row r="312" spans="1:19" x14ac:dyDescent="0.25">
      <c r="A312" s="398" t="str">
        <v xml:space="preserve"> </v>
      </c>
      <c r="C312" s="632" t="str">
        <f>A51</f>
        <v>H2O 2.0L 600g 6bar</v>
      </c>
      <c r="D312" s="633"/>
      <c r="F312" s="632" t="s">
        <v>186</v>
      </c>
      <c r="G312" s="633"/>
      <c r="H312" s="473"/>
      <c r="I312" s="630" t="str">
        <f>A158</f>
        <v>p24-3G 60F50</v>
      </c>
      <c r="J312" s="631"/>
      <c r="K312" s="473"/>
      <c r="L312" s="632" t="s">
        <v>186</v>
      </c>
      <c r="M312" s="633"/>
      <c r="O312" s="632" t="str">
        <f>A133</f>
        <v>p29-1G 41F36</v>
      </c>
      <c r="P312" s="633"/>
      <c r="R312" s="632" t="s">
        <v>186</v>
      </c>
      <c r="S312" s="633"/>
    </row>
    <row r="313" spans="1:19" x14ac:dyDescent="0.25">
      <c r="A313" s="398" t="str">
        <v xml:space="preserve"> </v>
      </c>
      <c r="C313" s="632" t="str">
        <f>A56</f>
        <v>H2O 2.0L 800g 6bar</v>
      </c>
      <c r="D313" s="633"/>
      <c r="F313" s="632" t="s">
        <v>186</v>
      </c>
      <c r="G313" s="633"/>
      <c r="H313" s="473"/>
      <c r="I313" s="630" t="str">
        <f>A163</f>
        <v>p24-3G 68F79</v>
      </c>
      <c r="J313" s="631"/>
      <c r="K313" s="473"/>
      <c r="L313" s="632" t="s">
        <v>186</v>
      </c>
      <c r="M313" s="633"/>
      <c r="O313" s="632" t="str">
        <f>A138</f>
        <v>p29-1G 51F36</v>
      </c>
      <c r="P313" s="633"/>
      <c r="R313" s="632" t="s">
        <v>186</v>
      </c>
      <c r="S313" s="633"/>
    </row>
    <row r="314" spans="1:19" x14ac:dyDescent="0.25">
      <c r="A314" s="398" t="str">
        <v xml:space="preserve"> </v>
      </c>
      <c r="C314" s="632" t="str">
        <f>A61</f>
        <v>H2O 2.0L 1000g 6bar</v>
      </c>
      <c r="D314" s="633"/>
      <c r="F314" s="632" t="s">
        <v>186</v>
      </c>
      <c r="G314" s="633"/>
      <c r="H314" s="473"/>
      <c r="I314" s="630" t="str">
        <f>A168</f>
        <v>p24-3G 68F240</v>
      </c>
      <c r="J314" s="631"/>
      <c r="K314" s="473"/>
      <c r="L314" s="632" t="s">
        <v>186</v>
      </c>
      <c r="M314" s="633"/>
      <c r="O314" s="632" t="str">
        <f>A143</f>
        <v>p29-1G 55F29</v>
      </c>
      <c r="P314" s="633"/>
      <c r="R314" s="632" t="s">
        <v>186</v>
      </c>
      <c r="S314" s="633"/>
    </row>
    <row r="315" spans="1:19" x14ac:dyDescent="0.25">
      <c r="A315" s="398" t="str">
        <v xml:space="preserve"> </v>
      </c>
      <c r="C315" s="632" t="s">
        <v>186</v>
      </c>
      <c r="D315" s="633"/>
      <c r="F315" s="632" t="s">
        <v>186</v>
      </c>
      <c r="G315" s="633"/>
      <c r="H315" s="473"/>
      <c r="I315" s="630" t="str">
        <f>A173</f>
        <v>p24-3G 73F30</v>
      </c>
      <c r="J315" s="631"/>
      <c r="K315" s="473"/>
      <c r="L315" s="632" t="s">
        <v>186</v>
      </c>
      <c r="M315" s="633"/>
      <c r="O315" s="632" t="str">
        <f>A148</f>
        <v>p29-1G 56F120</v>
      </c>
      <c r="P315" s="633"/>
      <c r="R315" s="632" t="s">
        <v>186</v>
      </c>
      <c r="S315" s="633"/>
    </row>
    <row r="316" spans="1:19" x14ac:dyDescent="0.25">
      <c r="A316" s="398" t="str">
        <v xml:space="preserve"> </v>
      </c>
      <c r="C316" s="632" t="s">
        <v>186</v>
      </c>
      <c r="D316" s="633"/>
      <c r="F316" s="632" t="s">
        <v>186</v>
      </c>
      <c r="G316" s="633"/>
      <c r="H316" s="473"/>
      <c r="I316" s="630" t="str">
        <f>A178</f>
        <v>p24-3G 74F85</v>
      </c>
      <c r="J316" s="631"/>
      <c r="K316" s="473"/>
      <c r="L316" s="632" t="s">
        <v>186</v>
      </c>
      <c r="M316" s="633"/>
      <c r="O316" s="632" t="str">
        <f>A153</f>
        <v>p29-1G 57F59</v>
      </c>
      <c r="P316" s="633"/>
      <c r="R316" s="632" t="s">
        <v>186</v>
      </c>
      <c r="S316" s="633"/>
    </row>
    <row r="317" spans="1:19" x14ac:dyDescent="0.25">
      <c r="A317" s="398" t="str">
        <v xml:space="preserve"> </v>
      </c>
      <c r="C317" s="632" t="s">
        <v>186</v>
      </c>
      <c r="D317" s="633"/>
      <c r="F317" s="632" t="s">
        <v>186</v>
      </c>
      <c r="G317" s="633"/>
      <c r="H317" s="473"/>
      <c r="I317" s="630" t="str">
        <f>A183</f>
        <v>p24-3G 75F51</v>
      </c>
      <c r="J317" s="631"/>
      <c r="K317" s="473"/>
      <c r="L317" s="632" t="s">
        <v>186</v>
      </c>
      <c r="M317" s="633"/>
      <c r="O317" s="632" t="str">
        <f>A158</f>
        <v>p24-3G 60F50</v>
      </c>
      <c r="P317" s="633"/>
      <c r="R317" s="632" t="s">
        <v>186</v>
      </c>
      <c r="S317" s="633"/>
    </row>
    <row r="318" spans="1:19" x14ac:dyDescent="0.25">
      <c r="A318" s="398" t="str">
        <v xml:space="preserve"> </v>
      </c>
      <c r="C318" s="632" t="s">
        <v>186</v>
      </c>
      <c r="D318" s="633"/>
      <c r="F318" s="632" t="s">
        <v>186</v>
      </c>
      <c r="G318" s="633"/>
      <c r="H318" s="473"/>
      <c r="I318" s="630"/>
      <c r="J318" s="631"/>
      <c r="K318" s="473"/>
      <c r="L318" s="632" t="s">
        <v>186</v>
      </c>
      <c r="M318" s="633"/>
      <c r="O318" s="632" t="str">
        <f>A163</f>
        <v>p24-3G 68F79</v>
      </c>
      <c r="P318" s="633"/>
      <c r="R318" s="632" t="s">
        <v>186</v>
      </c>
      <c r="S318" s="633"/>
    </row>
    <row r="319" spans="1:19" x14ac:dyDescent="0.25">
      <c r="A319" s="398" t="str">
        <v xml:space="preserve"> </v>
      </c>
      <c r="C319" s="632" t="s">
        <v>186</v>
      </c>
      <c r="D319" s="633"/>
      <c r="F319" s="632" t="s">
        <v>186</v>
      </c>
      <c r="G319" s="633"/>
      <c r="H319" s="473"/>
      <c r="I319" s="630"/>
      <c r="J319" s="631"/>
      <c r="K319" s="473"/>
      <c r="L319" s="632" t="s">
        <v>186</v>
      </c>
      <c r="M319" s="633"/>
      <c r="O319" s="632" t="str">
        <f>A168</f>
        <v>p24-3G 68F240</v>
      </c>
      <c r="P319" s="633"/>
      <c r="R319" s="632" t="s">
        <v>186</v>
      </c>
      <c r="S319" s="633"/>
    </row>
    <row r="320" spans="1:19" x14ac:dyDescent="0.25">
      <c r="A320" s="398" t="str">
        <v xml:space="preserve"> </v>
      </c>
      <c r="C320" s="632" t="s">
        <v>186</v>
      </c>
      <c r="D320" s="633"/>
      <c r="F320" s="632" t="s">
        <v>186</v>
      </c>
      <c r="G320" s="633"/>
      <c r="H320" s="473"/>
      <c r="I320" s="630"/>
      <c r="J320" s="631"/>
      <c r="K320" s="473"/>
      <c r="L320" s="632" t="s">
        <v>186</v>
      </c>
      <c r="M320" s="633"/>
      <c r="O320" s="632" t="str">
        <f>A173</f>
        <v>p24-3G 73F30</v>
      </c>
      <c r="P320" s="633"/>
      <c r="R320" s="632" t="s">
        <v>186</v>
      </c>
      <c r="S320" s="633"/>
    </row>
    <row r="321" spans="1:19" x14ac:dyDescent="0.25">
      <c r="A321" s="398" t="str">
        <v xml:space="preserve"> </v>
      </c>
      <c r="C321" s="632" t="s">
        <v>186</v>
      </c>
      <c r="D321" s="633"/>
      <c r="F321" s="632" t="s">
        <v>186</v>
      </c>
      <c r="G321" s="633"/>
      <c r="H321" s="473"/>
      <c r="I321" s="643" t="s">
        <v>186</v>
      </c>
      <c r="J321" s="644"/>
      <c r="K321" s="473"/>
      <c r="L321" s="632" t="s">
        <v>186</v>
      </c>
      <c r="M321" s="633"/>
      <c r="O321" s="632" t="str">
        <f>A178</f>
        <v>p24-3G 74F85</v>
      </c>
      <c r="P321" s="633"/>
      <c r="R321" s="632" t="s">
        <v>186</v>
      </c>
      <c r="S321" s="633"/>
    </row>
    <row r="322" spans="1:19" x14ac:dyDescent="0.25">
      <c r="A322" s="462" t="str">
        <v xml:space="preserve"> </v>
      </c>
      <c r="C322" s="641" t="s">
        <v>186</v>
      </c>
      <c r="D322" s="642"/>
      <c r="F322" s="641" t="s">
        <v>186</v>
      </c>
      <c r="G322" s="642"/>
      <c r="H322" s="473"/>
      <c r="I322" s="641" t="s">
        <v>186</v>
      </c>
      <c r="J322" s="642"/>
      <c r="K322" s="473"/>
      <c r="L322" s="641" t="s">
        <v>186</v>
      </c>
      <c r="M322" s="642"/>
      <c r="O322" s="632" t="str">
        <f>A183</f>
        <v>p24-3G 75F51</v>
      </c>
      <c r="P322" s="633"/>
      <c r="R322" s="641" t="s">
        <v>186</v>
      </c>
      <c r="S322" s="642"/>
    </row>
    <row r="323" spans="1:19" x14ac:dyDescent="0.25">
      <c r="A323" s="398" t="str">
        <v xml:space="preserve"> </v>
      </c>
      <c r="C323" s="645" t="s">
        <v>186</v>
      </c>
      <c r="D323" s="645"/>
      <c r="F323" s="645" t="s">
        <v>186</v>
      </c>
      <c r="G323" s="645"/>
      <c r="I323" s="638" t="s">
        <v>186</v>
      </c>
      <c r="J323" s="638"/>
      <c r="L323" s="638" t="s">
        <v>186</v>
      </c>
      <c r="M323" s="638"/>
      <c r="O323" s="632" t="str">
        <f>A208</f>
        <v>p29-2G 84G88</v>
      </c>
      <c r="P323" s="633"/>
      <c r="R323" s="637" t="s">
        <v>186</v>
      </c>
      <c r="S323" s="637"/>
    </row>
    <row r="324" spans="1:19" x14ac:dyDescent="0.25">
      <c r="A324" s="398" t="str">
        <v>Isard</v>
      </c>
      <c r="C324" s="629" t="s">
        <v>186</v>
      </c>
      <c r="D324" s="629"/>
      <c r="F324" s="629" t="s">
        <v>186</v>
      </c>
      <c r="G324" s="629"/>
      <c r="I324" s="638" t="s">
        <v>186</v>
      </c>
      <c r="J324" s="638"/>
      <c r="L324" s="638" t="s">
        <v>186</v>
      </c>
      <c r="M324" s="638"/>
      <c r="O324" s="632" t="str">
        <f>A213</f>
        <v>p29-2G 93G80</v>
      </c>
      <c r="P324" s="633"/>
      <c r="R324" s="636" t="str">
        <f>A264</f>
        <v>Isard</v>
      </c>
      <c r="S324" s="636"/>
    </row>
    <row r="325" spans="1:19" x14ac:dyDescent="0.25">
      <c r="A325" s="398" t="str">
        <v>Chamois</v>
      </c>
      <c r="C325" s="629" t="s">
        <v>186</v>
      </c>
      <c r="D325" s="629"/>
      <c r="F325" s="629" t="s">
        <v>186</v>
      </c>
      <c r="G325" s="629"/>
      <c r="I325" s="638" t="s">
        <v>186</v>
      </c>
      <c r="J325" s="638"/>
      <c r="L325" s="638" t="s">
        <v>186</v>
      </c>
      <c r="M325" s="638"/>
      <c r="O325" s="632" t="str">
        <f>A218</f>
        <v>p29-2G 110G250</v>
      </c>
      <c r="P325" s="633"/>
      <c r="R325" s="636" t="str">
        <f>A269</f>
        <v>Chamois</v>
      </c>
      <c r="S325" s="636"/>
    </row>
    <row r="326" spans="1:19" x14ac:dyDescent="0.25">
      <c r="A326" s="398" t="str">
        <v>Pro75-2G</v>
      </c>
      <c r="C326" s="629" t="s">
        <v>186</v>
      </c>
      <c r="D326" s="629"/>
      <c r="F326" s="629" t="s">
        <v>186</v>
      </c>
      <c r="G326" s="629"/>
      <c r="I326" s="638" t="s">
        <v>186</v>
      </c>
      <c r="J326" s="638"/>
      <c r="L326" s="638" t="s">
        <v>186</v>
      </c>
      <c r="M326" s="638"/>
      <c r="O326" s="632" t="str">
        <f>A223</f>
        <v>p29-2G 116G126</v>
      </c>
      <c r="P326" s="633"/>
      <c r="R326" s="636" t="str">
        <f>A279</f>
        <v>Pro75-2G</v>
      </c>
      <c r="S326" s="636"/>
    </row>
    <row r="327" spans="1:19" x14ac:dyDescent="0.25">
      <c r="A327" s="398" t="str">
        <v>Pro98-2G WT</v>
      </c>
      <c r="C327" s="629" t="s">
        <v>186</v>
      </c>
      <c r="D327" s="629"/>
      <c r="F327" s="629" t="s">
        <v>186</v>
      </c>
      <c r="G327" s="629"/>
      <c r="I327" s="638" t="s">
        <v>186</v>
      </c>
      <c r="J327" s="638"/>
      <c r="L327" s="638" t="s">
        <v>186</v>
      </c>
      <c r="M327" s="638"/>
      <c r="O327" s="632" t="str">
        <f>A228</f>
        <v>p29-3G 125G131</v>
      </c>
      <c r="P327" s="633"/>
      <c r="R327" s="636" t="str">
        <f>A289</f>
        <v>Pro98-2G WT</v>
      </c>
      <c r="S327" s="636"/>
    </row>
    <row r="328" spans="1:19" x14ac:dyDescent="0.25">
      <c r="A328" s="398" t="str">
        <v>Pro98-3G WT</v>
      </c>
      <c r="C328" s="629" t="s">
        <v>186</v>
      </c>
      <c r="D328" s="629"/>
      <c r="F328" s="629" t="s">
        <v>186</v>
      </c>
      <c r="G328" s="629"/>
      <c r="I328" s="638" t="s">
        <v>186</v>
      </c>
      <c r="J328" s="638"/>
      <c r="L328" s="638" t="s">
        <v>186</v>
      </c>
      <c r="M328" s="638"/>
      <c r="O328" s="632" t="str">
        <f>A243</f>
        <v>p38-1G 128G185</v>
      </c>
      <c r="P328" s="633"/>
      <c r="R328" s="636" t="str">
        <f>A294</f>
        <v>Pro98-3G WT</v>
      </c>
      <c r="S328" s="636"/>
    </row>
    <row r="329" spans="1:19" x14ac:dyDescent="0.25">
      <c r="A329" s="398" t="str">
        <v>Aucun (2e ét. inerte)</v>
      </c>
      <c r="C329" s="629" t="s">
        <v>186</v>
      </c>
      <c r="D329" s="629"/>
      <c r="F329" s="629" t="s">
        <v>186</v>
      </c>
      <c r="G329" s="629"/>
      <c r="I329" s="638" t="s">
        <v>186</v>
      </c>
      <c r="J329" s="638"/>
      <c r="L329" s="638" t="s">
        <v>186</v>
      </c>
      <c r="M329" s="638"/>
      <c r="O329" s="632" t="str">
        <f>A238</f>
        <v>p38-1G 137G58</v>
      </c>
      <c r="P329" s="633"/>
      <c r="R329" s="636" t="str">
        <f>A299</f>
        <v>Aucun (2e ét. inerte)</v>
      </c>
      <c r="S329" s="636"/>
    </row>
    <row r="330" spans="1:19" x14ac:dyDescent="0.25">
      <c r="A330" s="398" t="str">
        <v xml:space="preserve"> </v>
      </c>
      <c r="C330" s="629" t="s">
        <v>186</v>
      </c>
      <c r="D330" s="629"/>
      <c r="F330" s="629" t="s">
        <v>186</v>
      </c>
      <c r="G330" s="629"/>
      <c r="I330" s="638" t="s">
        <v>186</v>
      </c>
      <c r="J330" s="638"/>
      <c r="L330" s="638" t="s">
        <v>186</v>
      </c>
      <c r="M330" s="638"/>
      <c r="O330" s="632" t="str">
        <f>A248</f>
        <v>p38-1G 141G78</v>
      </c>
      <c r="P330" s="633"/>
      <c r="R330" s="638" t="s">
        <v>186</v>
      </c>
      <c r="S330" s="638"/>
    </row>
    <row r="331" spans="1:19" x14ac:dyDescent="0.25">
      <c r="A331" s="398" t="str">
        <v xml:space="preserve"> </v>
      </c>
      <c r="C331" s="629" t="s">
        <v>186</v>
      </c>
      <c r="D331" s="629"/>
      <c r="F331" s="629" t="s">
        <v>186</v>
      </c>
      <c r="G331" s="629"/>
      <c r="I331" s="629" t="s">
        <v>186</v>
      </c>
      <c r="J331" s="629"/>
      <c r="L331" s="638" t="s">
        <v>186</v>
      </c>
      <c r="M331" s="638"/>
      <c r="O331" s="632" t="str">
        <f>A188</f>
        <v>p24-6G 140G145 PK</v>
      </c>
      <c r="P331" s="633"/>
      <c r="R331" s="629" t="s">
        <v>186</v>
      </c>
      <c r="S331" s="629"/>
    </row>
    <row r="332" spans="1:19" x14ac:dyDescent="0.25">
      <c r="A332" s="398" t="str">
        <v xml:space="preserve"> </v>
      </c>
      <c r="C332" s="629" t="s">
        <v>186</v>
      </c>
      <c r="D332" s="629"/>
      <c r="F332" s="629" t="s">
        <v>186</v>
      </c>
      <c r="G332" s="629"/>
      <c r="I332" s="629" t="s">
        <v>186</v>
      </c>
      <c r="J332" s="629"/>
      <c r="L332" s="638" t="s">
        <v>186</v>
      </c>
      <c r="M332" s="638"/>
      <c r="O332" s="632" t="str">
        <f>A193</f>
        <v>Pandora</v>
      </c>
      <c r="P332" s="633"/>
      <c r="R332" s="629" t="s">
        <v>186</v>
      </c>
      <c r="S332" s="629"/>
    </row>
    <row r="333" spans="1:19" x14ac:dyDescent="0.25">
      <c r="A333" s="398" t="str">
        <v xml:space="preserve"> </v>
      </c>
      <c r="C333" s="629" t="s">
        <v>186</v>
      </c>
      <c r="D333" s="629"/>
      <c r="F333" s="629" t="s">
        <v>186</v>
      </c>
      <c r="G333" s="629"/>
      <c r="I333" s="629" t="s">
        <v>186</v>
      </c>
      <c r="J333" s="629"/>
      <c r="L333" s="629" t="s">
        <v>186</v>
      </c>
      <c r="M333" s="629"/>
      <c r="O333" s="630" t="str">
        <f>A198</f>
        <v>p24-6G 142G117 WT</v>
      </c>
      <c r="P333" s="631"/>
      <c r="R333" s="629" t="s">
        <v>186</v>
      </c>
      <c r="S333" s="629"/>
    </row>
    <row r="334" spans="1:19" x14ac:dyDescent="0.25">
      <c r="A334" s="398" t="str">
        <v xml:space="preserve"> </v>
      </c>
      <c r="C334" s="629" t="s">
        <v>186</v>
      </c>
      <c r="D334" s="629"/>
      <c r="F334" s="629" t="s">
        <v>186</v>
      </c>
      <c r="G334" s="629"/>
      <c r="I334" s="629" t="s">
        <v>186</v>
      </c>
      <c r="J334" s="629"/>
      <c r="L334" s="629" t="s">
        <v>186</v>
      </c>
      <c r="M334" s="629"/>
      <c r="O334" s="630" t="str">
        <f>A203</f>
        <v>p24-6G 139G107 DT</v>
      </c>
      <c r="P334" s="631"/>
      <c r="R334" s="629" t="s">
        <v>186</v>
      </c>
      <c r="S334" s="629"/>
    </row>
    <row r="335" spans="1:19" x14ac:dyDescent="0.25">
      <c r="A335" s="398" t="str">
        <v xml:space="preserve"> </v>
      </c>
      <c r="C335" s="629" t="s">
        <v>186</v>
      </c>
      <c r="D335" s="629"/>
      <c r="F335" s="629" t="s">
        <v>186</v>
      </c>
      <c r="G335" s="629"/>
      <c r="I335" s="629" t="s">
        <v>186</v>
      </c>
      <c r="J335" s="629"/>
      <c r="L335" s="629" t="s">
        <v>186</v>
      </c>
      <c r="M335" s="629"/>
      <c r="O335" s="630" t="str">
        <f>A258</f>
        <v>Cariacou</v>
      </c>
      <c r="P335" s="631"/>
      <c r="R335" s="629" t="s">
        <v>186</v>
      </c>
      <c r="S335" s="629"/>
    </row>
    <row r="336" spans="1:19" x14ac:dyDescent="0.25">
      <c r="A336" s="474" t="str">
        <v xml:space="preserve"> </v>
      </c>
      <c r="C336" s="629" t="s">
        <v>186</v>
      </c>
      <c r="D336" s="629"/>
      <c r="F336" s="629" t="s">
        <v>186</v>
      </c>
      <c r="G336" s="629"/>
      <c r="I336" s="629" t="s">
        <v>186</v>
      </c>
      <c r="J336" s="629"/>
      <c r="L336" s="629" t="s">
        <v>186</v>
      </c>
      <c r="M336" s="629"/>
      <c r="O336" s="634" t="str">
        <f>A253</f>
        <v>Wapiti</v>
      </c>
      <c r="P336" s="635"/>
      <c r="R336" s="629" t="s">
        <v>186</v>
      </c>
      <c r="S336" s="629"/>
    </row>
  </sheetData>
  <sheetProtection password="C6AC" sheet="1"/>
  <dataConsolidate/>
  <mergeCells count="186">
    <mergeCell ref="C335:D335"/>
    <mergeCell ref="C336:D336"/>
    <mergeCell ref="C325:D325"/>
    <mergeCell ref="C326:D326"/>
    <mergeCell ref="C327:D327"/>
    <mergeCell ref="C328:D328"/>
    <mergeCell ref="C329:D329"/>
    <mergeCell ref="C330:D330"/>
    <mergeCell ref="L313:M313"/>
    <mergeCell ref="L314:M314"/>
    <mergeCell ref="L315:M315"/>
    <mergeCell ref="I322:J322"/>
    <mergeCell ref="I314:J314"/>
    <mergeCell ref="I315:J315"/>
    <mergeCell ref="I316:J316"/>
    <mergeCell ref="I317:J317"/>
    <mergeCell ref="C334:D334"/>
    <mergeCell ref="C331:D331"/>
    <mergeCell ref="C332:D332"/>
    <mergeCell ref="C333:D333"/>
    <mergeCell ref="L325:M325"/>
    <mergeCell ref="L326:M326"/>
    <mergeCell ref="I334:J334"/>
    <mergeCell ref="I323:J323"/>
    <mergeCell ref="I324:J324"/>
    <mergeCell ref="I325:J325"/>
    <mergeCell ref="I330:J330"/>
    <mergeCell ref="L327:M327"/>
    <mergeCell ref="I331:J331"/>
    <mergeCell ref="F329:G329"/>
    <mergeCell ref="F330:G330"/>
    <mergeCell ref="L329:M329"/>
    <mergeCell ref="L330:M330"/>
    <mergeCell ref="F331:G331"/>
    <mergeCell ref="I332:J332"/>
    <mergeCell ref="I333:J333"/>
    <mergeCell ref="L331:M331"/>
    <mergeCell ref="L332:M332"/>
    <mergeCell ref="O318:P318"/>
    <mergeCell ref="O327:P327"/>
    <mergeCell ref="F324:G324"/>
    <mergeCell ref="F325:G325"/>
    <mergeCell ref="F326:G326"/>
    <mergeCell ref="F327:G327"/>
    <mergeCell ref="O323:P323"/>
    <mergeCell ref="I326:J326"/>
    <mergeCell ref="L323:M323"/>
    <mergeCell ref="O324:P324"/>
    <mergeCell ref="I319:J319"/>
    <mergeCell ref="I320:J320"/>
    <mergeCell ref="I321:J321"/>
    <mergeCell ref="C324:D324"/>
    <mergeCell ref="L328:M328"/>
    <mergeCell ref="F323:G323"/>
    <mergeCell ref="C321:D321"/>
    <mergeCell ref="C320:D320"/>
    <mergeCell ref="C318:D318"/>
    <mergeCell ref="C323:D323"/>
    <mergeCell ref="F328:G328"/>
    <mergeCell ref="L306:M306"/>
    <mergeCell ref="L307:M307"/>
    <mergeCell ref="L316:M316"/>
    <mergeCell ref="L317:M317"/>
    <mergeCell ref="L311:M311"/>
    <mergeCell ref="L312:M312"/>
    <mergeCell ref="R316:S316"/>
    <mergeCell ref="C311:D311"/>
    <mergeCell ref="O311:P311"/>
    <mergeCell ref="R311:S311"/>
    <mergeCell ref="R315:S315"/>
    <mergeCell ref="R314:S314"/>
    <mergeCell ref="R313:S313"/>
    <mergeCell ref="I311:J311"/>
    <mergeCell ref="I312:J312"/>
    <mergeCell ref="I313:J313"/>
    <mergeCell ref="R306:S306"/>
    <mergeCell ref="R307:S307"/>
    <mergeCell ref="R308:S308"/>
    <mergeCell ref="R309:S309"/>
    <mergeCell ref="R310:S310"/>
    <mergeCell ref="R317:S317"/>
    <mergeCell ref="L310:M310"/>
    <mergeCell ref="I306:J306"/>
    <mergeCell ref="R320:S320"/>
    <mergeCell ref="R319:S319"/>
    <mergeCell ref="O319:P319"/>
    <mergeCell ref="R321:S321"/>
    <mergeCell ref="L321:M321"/>
    <mergeCell ref="L322:M322"/>
    <mergeCell ref="L319:M319"/>
    <mergeCell ref="L320:M320"/>
    <mergeCell ref="C312:D312"/>
    <mergeCell ref="C322:D322"/>
    <mergeCell ref="R312:S312"/>
    <mergeCell ref="R318:S318"/>
    <mergeCell ref="R322:S322"/>
    <mergeCell ref="F318:G318"/>
    <mergeCell ref="F312:G312"/>
    <mergeCell ref="O316:P316"/>
    <mergeCell ref="F313:G313"/>
    <mergeCell ref="O321:P321"/>
    <mergeCell ref="O314:P314"/>
    <mergeCell ref="O312:P312"/>
    <mergeCell ref="O322:P322"/>
    <mergeCell ref="F322:G322"/>
    <mergeCell ref="C319:D319"/>
    <mergeCell ref="I318:J318"/>
    <mergeCell ref="I309:J309"/>
    <mergeCell ref="C317:D317"/>
    <mergeCell ref="C316:D316"/>
    <mergeCell ref="C315:D315"/>
    <mergeCell ref="C314:D314"/>
    <mergeCell ref="C313:D313"/>
    <mergeCell ref="C306:D306"/>
    <mergeCell ref="C307:D307"/>
    <mergeCell ref="C308:D308"/>
    <mergeCell ref="C309:D309"/>
    <mergeCell ref="C310:D310"/>
    <mergeCell ref="F306:G306"/>
    <mergeCell ref="F309:G309"/>
    <mergeCell ref="F308:G308"/>
    <mergeCell ref="F307:G307"/>
    <mergeCell ref="O308:P308"/>
    <mergeCell ref="O307:P307"/>
    <mergeCell ref="I310:J310"/>
    <mergeCell ref="L308:M308"/>
    <mergeCell ref="L309:M309"/>
    <mergeCell ref="O306:P306"/>
    <mergeCell ref="F319:G319"/>
    <mergeCell ref="F320:G320"/>
    <mergeCell ref="F321:G321"/>
    <mergeCell ref="F314:G314"/>
    <mergeCell ref="F311:G311"/>
    <mergeCell ref="F310:G310"/>
    <mergeCell ref="O313:P313"/>
    <mergeCell ref="O310:P310"/>
    <mergeCell ref="O309:P309"/>
    <mergeCell ref="F315:G315"/>
    <mergeCell ref="F316:G316"/>
    <mergeCell ref="F317:G317"/>
    <mergeCell ref="O315:P315"/>
    <mergeCell ref="O320:P320"/>
    <mergeCell ref="O317:P317"/>
    <mergeCell ref="L318:M318"/>
    <mergeCell ref="I307:J307"/>
    <mergeCell ref="I308:J308"/>
    <mergeCell ref="O329:P329"/>
    <mergeCell ref="O334:P334"/>
    <mergeCell ref="R325:S325"/>
    <mergeCell ref="R323:S323"/>
    <mergeCell ref="I327:J327"/>
    <mergeCell ref="I328:J328"/>
    <mergeCell ref="I329:J329"/>
    <mergeCell ref="O331:P331"/>
    <mergeCell ref="L324:M324"/>
    <mergeCell ref="R329:S329"/>
    <mergeCell ref="O333:P333"/>
    <mergeCell ref="R328:S328"/>
    <mergeCell ref="R326:S326"/>
    <mergeCell ref="R327:S327"/>
    <mergeCell ref="R324:S324"/>
    <mergeCell ref="O332:P332"/>
    <mergeCell ref="O325:P325"/>
    <mergeCell ref="R330:S330"/>
    <mergeCell ref="R331:S331"/>
    <mergeCell ref="R333:S333"/>
    <mergeCell ref="R334:S334"/>
    <mergeCell ref="O328:P328"/>
    <mergeCell ref="O326:P326"/>
    <mergeCell ref="L333:M333"/>
    <mergeCell ref="R335:S335"/>
    <mergeCell ref="O335:P335"/>
    <mergeCell ref="O330:P330"/>
    <mergeCell ref="R336:S336"/>
    <mergeCell ref="R332:S332"/>
    <mergeCell ref="F332:G332"/>
    <mergeCell ref="F333:G333"/>
    <mergeCell ref="F334:G334"/>
    <mergeCell ref="F335:G335"/>
    <mergeCell ref="F336:G336"/>
    <mergeCell ref="O336:P336"/>
    <mergeCell ref="L335:M335"/>
    <mergeCell ref="L336:M336"/>
    <mergeCell ref="L334:M334"/>
    <mergeCell ref="I336:J336"/>
    <mergeCell ref="I335:J335"/>
  </mergeCells>
  <phoneticPr fontId="8" type="noConversion"/>
  <pageMargins left="0.39370078740157483" right="0.39370078740157483" top="0.39370078740157483" bottom="0.39370078740157483" header="0" footer="0"/>
  <pageSetup scale="44" firstPageNumber="0" fitToHeight="3" orientation="landscape" horizontalDpi="300" verticalDpi="300"/>
  <headerFooter alignWithMargins="0"/>
  <ignoredErrors>
    <ignoredError sqref="R307:S308 C307:D314 F307:G311 O312:P329 O332:P332 R324:S329 O330:O331 O307:P309 O310:P311 P331" unlocked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1134-95F0-2D4D-BFC4-ECED88733CEF}">
  <sheetPr codeName="Feuil4">
    <pageSetUpPr fitToPage="1"/>
  </sheetPr>
  <dimension ref="A1:IN1075"/>
  <sheetViews>
    <sheetView showGridLines="0" workbookViewId="0">
      <pane xSplit="3" ySplit="7" topLeftCell="D500" activePane="bottomRight" state="frozen"/>
      <selection pane="topRight" activeCell="D1" sqref="D1"/>
      <selection pane="bottomLeft" activeCell="A8" sqref="A8"/>
      <selection pane="bottomRight" activeCell="I511" sqref="I511"/>
    </sheetView>
  </sheetViews>
  <sheetFormatPr baseColWidth="10" defaultColWidth="11.6328125" defaultRowHeight="12.5" x14ac:dyDescent="0.25"/>
  <cols>
    <col min="1" max="1" width="4.6328125" style="7" bestFit="1" customWidth="1"/>
    <col min="2" max="2" width="6" style="7" bestFit="1" customWidth="1"/>
    <col min="3" max="3" width="1.36328125" style="8" customWidth="1"/>
    <col min="4" max="4" width="7.1796875" style="7" customWidth="1"/>
    <col min="5" max="6" width="7.36328125" style="7" customWidth="1"/>
    <col min="7" max="7" width="7.1796875" style="7" customWidth="1"/>
    <col min="8" max="8" width="7.36328125" style="7" customWidth="1"/>
    <col min="9" max="9" width="7.1796875" style="7" customWidth="1"/>
    <col min="10" max="12" width="7.6328125" style="7" bestFit="1" customWidth="1"/>
    <col min="13" max="13" width="5.6328125" style="7" customWidth="1"/>
    <col min="14" max="14" width="6.36328125" style="7" customWidth="1"/>
    <col min="15" max="15" width="1.36328125" style="8" customWidth="1"/>
    <col min="16" max="16" width="4" style="7" customWidth="1"/>
    <col min="17" max="17" width="8.6328125" style="7" customWidth="1"/>
    <col min="18" max="18" width="5.6328125" style="7" customWidth="1"/>
    <col min="19" max="19" width="5.36328125" style="7" customWidth="1"/>
    <col min="20" max="20" width="6" style="7" customWidth="1"/>
    <col min="21" max="21" width="8.6328125" style="7" customWidth="1"/>
    <col min="22" max="22" width="6.6328125" style="7" customWidth="1"/>
    <col min="23" max="23" width="7.1796875" style="7" customWidth="1"/>
    <col min="24" max="24" width="1.36328125" style="8" customWidth="1"/>
    <col min="25" max="25" width="15.6328125" style="7" customWidth="1"/>
    <col min="26" max="26" width="5.6328125" style="7" customWidth="1"/>
    <col min="27" max="27" width="7.6328125" style="7" customWidth="1"/>
    <col min="28" max="28" width="1.6328125" style="7" customWidth="1"/>
    <col min="29" max="29" width="7.36328125" style="7" bestFit="1" customWidth="1"/>
    <col min="30" max="31" width="6.6328125" style="7" bestFit="1" customWidth="1"/>
    <col min="32" max="32" width="1.81640625" style="7" customWidth="1"/>
    <col min="33" max="238" width="11.36328125" style="7" customWidth="1"/>
    <col min="239" max="239" width="11" style="7" customWidth="1"/>
  </cols>
  <sheetData>
    <row r="1" spans="1:248" ht="13" thickBot="1" x14ac:dyDescent="0.3">
      <c r="D1" s="646" t="s">
        <v>268</v>
      </c>
      <c r="E1" s="647"/>
      <c r="F1" s="647"/>
      <c r="G1" s="647"/>
      <c r="H1" s="647"/>
      <c r="I1" s="647"/>
      <c r="J1" s="647"/>
      <c r="K1" s="647"/>
      <c r="L1" s="647"/>
      <c r="M1" s="647"/>
      <c r="N1" s="648"/>
      <c r="P1" s="646" t="s">
        <v>17</v>
      </c>
      <c r="Q1" s="647"/>
      <c r="R1" s="647"/>
      <c r="S1" s="647"/>
      <c r="T1" s="647"/>
      <c r="U1" s="647"/>
      <c r="V1" s="647"/>
      <c r="W1" s="648"/>
      <c r="Y1" s="9"/>
      <c r="Z1" s="9"/>
      <c r="AA1" s="9"/>
      <c r="AC1" s="653" t="s">
        <v>188</v>
      </c>
      <c r="AD1" s="653"/>
      <c r="AE1" s="653"/>
      <c r="AG1" s="649" t="s">
        <v>18</v>
      </c>
      <c r="AH1" s="649"/>
    </row>
    <row r="2" spans="1:248" s="12" customFormat="1" x14ac:dyDescent="0.25">
      <c r="A2" s="330" t="s">
        <v>19</v>
      </c>
      <c r="B2" s="331" t="s">
        <v>2</v>
      </c>
      <c r="C2" s="10"/>
      <c r="D2" s="334" t="s">
        <v>195</v>
      </c>
      <c r="E2" s="335" t="s">
        <v>196</v>
      </c>
      <c r="F2" s="331" t="s">
        <v>197</v>
      </c>
      <c r="G2" s="334" t="s">
        <v>192</v>
      </c>
      <c r="H2" s="335" t="s">
        <v>193</v>
      </c>
      <c r="I2" s="331" t="s">
        <v>194</v>
      </c>
      <c r="J2" s="334" t="s">
        <v>189</v>
      </c>
      <c r="K2" s="335" t="s">
        <v>190</v>
      </c>
      <c r="L2" s="331" t="s">
        <v>191</v>
      </c>
      <c r="M2" s="330" t="s">
        <v>20</v>
      </c>
      <c r="N2" s="331" t="s">
        <v>21</v>
      </c>
      <c r="O2" s="10"/>
      <c r="P2" s="330" t="s">
        <v>26</v>
      </c>
      <c r="Q2" s="331" t="s">
        <v>25</v>
      </c>
      <c r="R2" s="330" t="s">
        <v>22</v>
      </c>
      <c r="S2" s="335" t="s">
        <v>39</v>
      </c>
      <c r="T2" s="331" t="s">
        <v>27</v>
      </c>
      <c r="U2" s="338" t="s">
        <v>28</v>
      </c>
      <c r="V2" s="330" t="s">
        <v>24</v>
      </c>
      <c r="W2" s="331" t="s">
        <v>23</v>
      </c>
      <c r="X2" s="11"/>
      <c r="Y2" s="650" t="s">
        <v>187</v>
      </c>
      <c r="Z2" s="651"/>
      <c r="AA2" s="652"/>
      <c r="AC2" s="330" t="s">
        <v>11</v>
      </c>
      <c r="AD2" s="335" t="s">
        <v>3</v>
      </c>
      <c r="AE2" s="331" t="s">
        <v>29</v>
      </c>
      <c r="AG2" s="345" t="s">
        <v>31</v>
      </c>
      <c r="AH2" s="346" t="s">
        <v>30</v>
      </c>
      <c r="IF2"/>
      <c r="IG2"/>
      <c r="IH2"/>
      <c r="II2"/>
      <c r="IJ2"/>
      <c r="IK2"/>
      <c r="IL2"/>
      <c r="IM2"/>
      <c r="IN2"/>
    </row>
    <row r="3" spans="1:248" s="12" customFormat="1" x14ac:dyDescent="0.25">
      <c r="A3" s="332" t="s">
        <v>156</v>
      </c>
      <c r="B3" s="333" t="s">
        <v>156</v>
      </c>
      <c r="C3" s="10"/>
      <c r="D3" s="336" t="s">
        <v>7</v>
      </c>
      <c r="E3" s="337" t="s">
        <v>7</v>
      </c>
      <c r="F3" s="333" t="s">
        <v>7</v>
      </c>
      <c r="G3" s="336" t="s">
        <v>157</v>
      </c>
      <c r="H3" s="337" t="s">
        <v>157</v>
      </c>
      <c r="I3" s="333" t="s">
        <v>157</v>
      </c>
      <c r="J3" s="336" t="s">
        <v>39</v>
      </c>
      <c r="K3" s="337" t="s">
        <v>39</v>
      </c>
      <c r="L3" s="333" t="s">
        <v>39</v>
      </c>
      <c r="M3" s="332" t="s">
        <v>246</v>
      </c>
      <c r="N3" s="333" t="s">
        <v>158</v>
      </c>
      <c r="O3" s="10"/>
      <c r="P3" s="336" t="s">
        <v>14</v>
      </c>
      <c r="Q3" s="339" t="s">
        <v>229</v>
      </c>
      <c r="R3" s="336" t="s">
        <v>247</v>
      </c>
      <c r="S3" s="340" t="s">
        <v>230</v>
      </c>
      <c r="T3" s="339" t="s">
        <v>229</v>
      </c>
      <c r="U3" s="341" t="s">
        <v>229</v>
      </c>
      <c r="V3" s="336" t="s">
        <v>8</v>
      </c>
      <c r="W3" s="339" t="s">
        <v>229</v>
      </c>
      <c r="X3" s="11"/>
      <c r="Y3" s="342"/>
      <c r="Z3" s="343"/>
      <c r="AA3" s="344"/>
      <c r="AC3" s="336" t="s">
        <v>156</v>
      </c>
      <c r="AD3" s="340" t="s">
        <v>39</v>
      </c>
      <c r="AE3" s="339" t="s">
        <v>39</v>
      </c>
      <c r="AG3" s="342" t="s">
        <v>7</v>
      </c>
      <c r="AH3" s="339" t="s">
        <v>7</v>
      </c>
      <c r="IF3"/>
      <c r="IG3"/>
      <c r="IH3"/>
      <c r="II3"/>
      <c r="IJ3"/>
      <c r="IK3"/>
      <c r="IL3"/>
      <c r="IM3"/>
      <c r="IN3"/>
    </row>
    <row r="4" spans="1:248" x14ac:dyDescent="0.25">
      <c r="A4" s="292" t="s">
        <v>14</v>
      </c>
      <c r="B4" s="349">
        <f>T_ini</f>
        <v>0</v>
      </c>
      <c r="D4" s="292" t="s">
        <v>14</v>
      </c>
      <c r="E4" s="293" t="s">
        <v>14</v>
      </c>
      <c r="F4" s="294" t="s">
        <v>14</v>
      </c>
      <c r="G4" s="292">
        <f>vit_xz*COS(Beta)</f>
        <v>0</v>
      </c>
      <c r="H4" s="293">
        <f>vit_xz*SIN(Beta)</f>
        <v>0</v>
      </c>
      <c r="I4" s="349">
        <f>V_ini</f>
        <v>0</v>
      </c>
      <c r="J4" s="350">
        <f>X_ini</f>
        <v>0</v>
      </c>
      <c r="K4" s="351">
        <f>Z_ini</f>
        <v>0</v>
      </c>
      <c r="L4" s="327">
        <f t="shared" ref="L4:L67" si="0">SQRT(pos_x^2+pos_z^2)</f>
        <v>0</v>
      </c>
      <c r="M4" s="292">
        <f>RADIANS(N4)</f>
        <v>1.4835298641951802</v>
      </c>
      <c r="N4" s="349">
        <f>Beta_rampe</f>
        <v>85</v>
      </c>
      <c r="P4" s="292" t="s">
        <v>14</v>
      </c>
      <c r="Q4" s="294" t="s">
        <v>14</v>
      </c>
      <c r="R4" s="292" t="s">
        <v>14</v>
      </c>
      <c r="S4" s="351">
        <f ca="1">m_tot</f>
        <v>12.510999999999999</v>
      </c>
      <c r="T4" s="327">
        <f t="shared" ref="T4:T67" ca="1" si="1">m*g</f>
        <v>122.73291</v>
      </c>
      <c r="U4" s="328">
        <f t="shared" ref="U4:U67" ca="1" si="2">IF(pos_xz&lt;L_rampe,Poids*COS(Beta),0)</f>
        <v>10.69687793063148</v>
      </c>
      <c r="V4" s="329">
        <f t="shared" ref="V4:V67" si="3">Rho_moyen*(20000-Alt_rampe-pos_z)/(20000+Alt_rampe+pos_z)</f>
        <v>1.2250000000000001</v>
      </c>
      <c r="W4" s="327">
        <f t="shared" ref="W4:W67" si="4">1/2*Rho*Sref*Cx*vit_xz^2</f>
        <v>0</v>
      </c>
      <c r="Y4" s="295" t="s">
        <v>14</v>
      </c>
      <c r="Z4" s="296" t="s">
        <v>14</v>
      </c>
      <c r="AA4" s="297" t="s">
        <v>14</v>
      </c>
      <c r="AC4" s="320">
        <f>IF(ABS(t-ROUND(t,0))&lt;0.001,t,-1)</f>
        <v>0</v>
      </c>
      <c r="AD4" s="321">
        <f>IF(ABS(t-ROUND(t,0))&lt;0.001,pos_x,-1)</f>
        <v>0</v>
      </c>
      <c r="AE4" s="322">
        <f t="shared" ref="AE4:AE67" si="5">IF(t&lt;T_para, pos_z, NA())</f>
        <v>0</v>
      </c>
      <c r="AG4" s="292" t="s">
        <v>14</v>
      </c>
      <c r="AH4" s="294" t="s">
        <v>14</v>
      </c>
    </row>
    <row r="5" spans="1:248" x14ac:dyDescent="0.25">
      <c r="A5" s="347">
        <f t="shared" ref="A5:A68" ca="1" si="6">IF(B4+0.01&lt;=T_ini+ROUNDUP(Temps_fin_propu,0), 0.01, IF(K4&gt;0, 0.1, 0.0001))</f>
        <v>0.01</v>
      </c>
      <c r="B5" s="304">
        <f t="shared" ref="B5:B68" ca="1" si="7">B4+pas</f>
        <v>0.01</v>
      </c>
      <c r="D5" s="306">
        <f t="shared" ref="D5:D68" ca="1" si="8">IF(AND(L4&lt;L_rampe,Poussee&lt;Poids*SIN(M4)),0,(-W4+Poussee)/m*COS(M4)-U4/m*SIN(M4))</f>
        <v>0.6439818951984706</v>
      </c>
      <c r="E5" s="307">
        <f t="shared" ref="E5:E68" ca="1" si="9">IF(AND(L4&lt;L_rampe,Poussee&lt;Poids*SIN(M4)),0,(-W4+Poussee)/m*SIN(M4)+U4/m*COS(M4)-Poids/m)</f>
        <v>7.3615901281643428</v>
      </c>
      <c r="F5" s="304">
        <f t="shared" ref="F5:F68" ca="1" si="10">SQRT(acc_x^2+acc_z^2)</f>
        <v>7.3897037759595019</v>
      </c>
      <c r="G5" s="306">
        <f t="shared" ref="G5:G68" ca="1" si="11">G4+acc_x*pas</f>
        <v>6.4398189519847063E-3</v>
      </c>
      <c r="H5" s="307">
        <f t="shared" ref="H5:H68" ca="1" si="12">H4+acc_z*pas</f>
        <v>7.3615901281643428E-2</v>
      </c>
      <c r="I5" s="304">
        <f t="shared" ref="I5:I68" ca="1" si="13">SQRT(vit_x^2+vit_z^2)</f>
        <v>7.3897037759595025E-2</v>
      </c>
      <c r="J5" s="306">
        <f t="shared" ref="J5:J68" ca="1" si="14">J4+0.5*(vit_x+G4)*pas*(K4&gt;=0)</f>
        <v>3.2199094759923535E-5</v>
      </c>
      <c r="K5" s="307">
        <f t="shared" ref="K5:K68" ca="1" si="15">K4+0.5*(vit_z+H4)*pas</f>
        <v>3.6807950640821717E-4</v>
      </c>
      <c r="L5" s="304">
        <f t="shared" ca="1" si="0"/>
        <v>3.694851887979751E-4</v>
      </c>
      <c r="M5" s="306">
        <f t="shared" ref="M5:M68" ca="1" si="16">IF(AND(L4&gt;L_rampe,G5&gt;0),ATAN2(G5,H5),$M$4)</f>
        <v>1.4835298641951802</v>
      </c>
      <c r="N5" s="304">
        <f t="shared" ref="N5:N68" ca="1" si="17">DEGREES(Beta)</f>
        <v>85</v>
      </c>
      <c r="P5" s="310">
        <f t="shared" ref="P5:P68" ca="1" si="18">MATCH(t-pas/2-T_ini,CdP_t)</f>
        <v>1</v>
      </c>
      <c r="Q5" s="304">
        <f t="shared" ref="Q5:Q68" ca="1" si="19">(INDEX(CdP,2,i_P+1)-INDEX(CdP,2,i_P+0))/(INDEX(CdP,1,i_P+1)-INDEX(CdP,1,i_P+0))*(t-pas/2-T_ini-INDEX(CdP,1,i_P+0))+INDEX(CdP,2,i_P+0)</f>
        <v>214.70000000000002</v>
      </c>
      <c r="R5" s="306">
        <f t="shared" ref="R5:R68" ca="1" si="20">Poussee/(g*ISP)</f>
        <v>0.10755015641095009</v>
      </c>
      <c r="S5" s="307">
        <f t="shared" ref="S5:S68" ca="1" si="21">S4-Débit*pas</f>
        <v>12.50992449843589</v>
      </c>
      <c r="T5" s="304">
        <f t="shared" ca="1" si="1"/>
        <v>122.72235932965609</v>
      </c>
      <c r="U5" s="311">
        <f t="shared" ca="1" si="2"/>
        <v>10.695958379121169</v>
      </c>
      <c r="V5" s="306">
        <f t="shared" ca="1" si="3"/>
        <v>1.2249999549102617</v>
      </c>
      <c r="W5" s="304">
        <f t="shared" ca="1" si="4"/>
        <v>2.780213944554411E-5</v>
      </c>
      <c r="Y5" s="314" t="str">
        <f t="shared" ref="Y5:Y68" ca="1" si="22">IF(AND(pos_z&lt;=0,K4&gt;0),"Impact balistique","") &amp; IF(AND(H6&lt;0,vit_z&gt;=0),"Apogée","") &amp; IF(AND(Poussee=0,Q4&gt;0),"Fin de propulsion","") &amp; IF(AND(L6&gt;L_rampe,pos_xz&lt;=L_rampe),"Sortie de rampe","")</f>
        <v/>
      </c>
      <c r="Z5" s="315" t="str">
        <f t="shared" ref="Z5:Z68" ca="1" si="23">IF(ABS(t-T_para)&lt;pas/2,"Para","")</f>
        <v/>
      </c>
      <c r="AA5" s="316" t="str">
        <f t="shared" ref="AA5:AA68" ca="1" si="24">IF(ABS(t-T_satellite)&lt;pas/2,"Satellite","")</f>
        <v/>
      </c>
      <c r="AC5" s="310" t="e">
        <f t="shared" ref="AC5:AC68" ca="1" si="25">IF(ABS(t-ROUND(t,0))&lt;0.001,t,NA())</f>
        <v>#N/A</v>
      </c>
      <c r="AD5" s="323" t="e">
        <f t="shared" ref="AD5:AD68" ca="1" si="26">IF(ABS(t-ROUND(t,0))&lt;0.001,pos_x,NA())</f>
        <v>#N/A</v>
      </c>
      <c r="AE5" s="324">
        <f t="shared" ca="1" si="5"/>
        <v>3.6807950640821717E-4</v>
      </c>
      <c r="AG5" s="306">
        <f t="shared" ref="AG5:AG68" ca="1" si="27">IF(AND(L4&lt;L_rampe,Poussee&lt;Poids*SIN(M4)),0,(-W4+Poussee)/m-Poids*SIN(M4)/m)</f>
        <v>7.3897037755939188</v>
      </c>
      <c r="AH5" s="304">
        <f t="shared" ref="AH5:AH68" ca="1" si="28">IF(AND(L4&lt;L_rampe,Poussee&lt;Poids*SIN(M4)), g*SIN(M4), (-W4+Poussee)/m)</f>
        <v>17.162373763873944</v>
      </c>
    </row>
    <row r="6" spans="1:248" x14ac:dyDescent="0.25">
      <c r="A6" s="347">
        <f t="shared" ca="1" si="6"/>
        <v>0.01</v>
      </c>
      <c r="B6" s="304">
        <f t="shared" ca="1" si="7"/>
        <v>0.02</v>
      </c>
      <c r="D6" s="306">
        <f t="shared" ca="1" si="8"/>
        <v>2.2941608162738718</v>
      </c>
      <c r="E6" s="307">
        <f t="shared" ca="1" si="9"/>
        <v>26.224151979197778</v>
      </c>
      <c r="F6" s="304">
        <f t="shared" ca="1" si="10"/>
        <v>26.32431045400789</v>
      </c>
      <c r="G6" s="306">
        <f t="shared" ca="1" si="11"/>
        <v>2.9381427114723423E-2</v>
      </c>
      <c r="H6" s="307">
        <f t="shared" ca="1" si="12"/>
        <v>0.33585742107362121</v>
      </c>
      <c r="I6" s="304">
        <f t="shared" ca="1" si="13"/>
        <v>0.33714014229919509</v>
      </c>
      <c r="J6" s="306">
        <f t="shared" ca="1" si="14"/>
        <v>2.1130532509346415E-4</v>
      </c>
      <c r="K6" s="307">
        <f t="shared" ca="1" si="15"/>
        <v>2.4154461181845406E-3</v>
      </c>
      <c r="L6" s="304">
        <f t="shared" ca="1" si="0"/>
        <v>2.4246710890893264E-3</v>
      </c>
      <c r="M6" s="306">
        <f t="shared" ca="1" si="16"/>
        <v>1.4835298641951802</v>
      </c>
      <c r="N6" s="304">
        <f t="shared" ca="1" si="17"/>
        <v>85</v>
      </c>
      <c r="P6" s="310">
        <f t="shared" ca="1" si="18"/>
        <v>2</v>
      </c>
      <c r="Q6" s="304">
        <f t="shared" ca="1" si="19"/>
        <v>451.48888888888888</v>
      </c>
      <c r="R6" s="306">
        <f t="shared" ca="1" si="20"/>
        <v>0.22616534987333983</v>
      </c>
      <c r="S6" s="307">
        <f t="shared" ca="1" si="21"/>
        <v>12.507662844937157</v>
      </c>
      <c r="T6" s="304">
        <f t="shared" ca="1" si="1"/>
        <v>122.70017250883352</v>
      </c>
      <c r="U6" s="311">
        <f t="shared" ca="1" si="2"/>
        <v>10.694024670273169</v>
      </c>
      <c r="V6" s="306">
        <f t="shared" ca="1" si="3"/>
        <v>1.2249997041078866</v>
      </c>
      <c r="W6" s="304">
        <f t="shared" ca="1" si="4"/>
        <v>5.7868869829448349E-4</v>
      </c>
      <c r="Y6" s="314" t="str">
        <f t="shared" ca="1" si="22"/>
        <v/>
      </c>
      <c r="Z6" s="315" t="str">
        <f t="shared" ca="1" si="23"/>
        <v/>
      </c>
      <c r="AA6" s="316" t="str">
        <f t="shared" ca="1" si="24"/>
        <v/>
      </c>
      <c r="AC6" s="310" t="e">
        <f t="shared" ca="1" si="25"/>
        <v>#N/A</v>
      </c>
      <c r="AD6" s="323" t="e">
        <f t="shared" ca="1" si="26"/>
        <v>#N/A</v>
      </c>
      <c r="AE6" s="324">
        <f t="shared" ca="1" si="5"/>
        <v>2.4154461181845406E-3</v>
      </c>
      <c r="AG6" s="306">
        <f t="shared" ca="1" si="27"/>
        <v>26.324310453553903</v>
      </c>
      <c r="AH6" s="304">
        <f t="shared" ca="1" si="28"/>
        <v>36.096980441833928</v>
      </c>
    </row>
    <row r="7" spans="1:248" x14ac:dyDescent="0.25">
      <c r="A7" s="347">
        <f t="shared" ca="1" si="6"/>
        <v>0.01</v>
      </c>
      <c r="B7" s="304">
        <f t="shared" ca="1" si="7"/>
        <v>0.03</v>
      </c>
      <c r="D7" s="306">
        <f t="shared" ca="1" si="8"/>
        <v>2.9790879989130783</v>
      </c>
      <c r="E7" s="307">
        <f t="shared" ca="1" si="9"/>
        <v>34.053291707309462</v>
      </c>
      <c r="F7" s="304">
        <f t="shared" ca="1" si="10"/>
        <v>34.183353279167612</v>
      </c>
      <c r="G7" s="306">
        <f t="shared" ca="1" si="11"/>
        <v>5.917230710385421E-2</v>
      </c>
      <c r="H7" s="307">
        <f t="shared" ca="1" si="12"/>
        <v>0.67639033814671579</v>
      </c>
      <c r="I7" s="304">
        <f t="shared" ca="1" si="13"/>
        <v>0.67897367509073669</v>
      </c>
      <c r="J7" s="306">
        <f t="shared" ca="1" si="14"/>
        <v>6.540739961863524E-4</v>
      </c>
      <c r="K7" s="307">
        <f t="shared" ca="1" si="15"/>
        <v>7.4766849142862257E-3</v>
      </c>
      <c r="L7" s="304">
        <f t="shared" ca="1" si="0"/>
        <v>7.5052401760371673E-3</v>
      </c>
      <c r="M7" s="306">
        <f t="shared" ca="1" si="16"/>
        <v>1.4835298641951802</v>
      </c>
      <c r="N7" s="304">
        <f t="shared" ca="1" si="17"/>
        <v>85</v>
      </c>
      <c r="P7" s="310">
        <f t="shared" ca="1" si="18"/>
        <v>2</v>
      </c>
      <c r="Q7" s="304">
        <f t="shared" ca="1" si="19"/>
        <v>549.66666666666663</v>
      </c>
      <c r="R7" s="306">
        <f t="shared" ca="1" si="20"/>
        <v>0.27534576606374267</v>
      </c>
      <c r="S7" s="307">
        <f t="shared" ca="1" si="21"/>
        <v>12.50490938727652</v>
      </c>
      <c r="T7" s="304">
        <f t="shared" ca="1" si="1"/>
        <v>122.67316108918267</v>
      </c>
      <c r="U7" s="311">
        <f t="shared" ca="1" si="2"/>
        <v>10.69167046993083</v>
      </c>
      <c r="V7" s="306">
        <f t="shared" ca="1" si="3"/>
        <v>1.2249990841064404</v>
      </c>
      <c r="W7" s="304">
        <f t="shared" ca="1" si="4"/>
        <v>2.3470898858686338E-3</v>
      </c>
      <c r="Y7" s="314" t="str">
        <f t="shared" ca="1" si="22"/>
        <v/>
      </c>
      <c r="Z7" s="315" t="str">
        <f t="shared" ca="1" si="23"/>
        <v/>
      </c>
      <c r="AA7" s="316" t="str">
        <f t="shared" ca="1" si="24"/>
        <v/>
      </c>
      <c r="AC7" s="310" t="e">
        <f t="shared" ca="1" si="25"/>
        <v>#N/A</v>
      </c>
      <c r="AD7" s="323" t="e">
        <f t="shared" ca="1" si="26"/>
        <v>#N/A</v>
      </c>
      <c r="AE7" s="324">
        <f t="shared" ca="1" si="5"/>
        <v>7.4766849142862257E-3</v>
      </c>
      <c r="AG7" s="306">
        <f t="shared" ca="1" si="27"/>
        <v>34.183353278649193</v>
      </c>
      <c r="AH7" s="304">
        <f t="shared" ca="1" si="28"/>
        <v>43.956023266929222</v>
      </c>
    </row>
    <row r="8" spans="1:248" x14ac:dyDescent="0.25">
      <c r="A8" s="347">
        <f t="shared" ca="1" si="6"/>
        <v>0.01</v>
      </c>
      <c r="B8" s="304">
        <f t="shared" ca="1" si="7"/>
        <v>0.04</v>
      </c>
      <c r="D8" s="306">
        <f t="shared" ca="1" si="8"/>
        <v>3.6644860462194218</v>
      </c>
      <c r="E8" s="307">
        <f t="shared" ca="1" si="9"/>
        <v>41.887813713484164</v>
      </c>
      <c r="F8" s="304">
        <f t="shared" ca="1" si="10"/>
        <v>42.047798939760078</v>
      </c>
      <c r="G8" s="306">
        <f t="shared" ca="1" si="11"/>
        <v>9.5817167566048439E-2</v>
      </c>
      <c r="H8" s="307">
        <f t="shared" ca="1" si="12"/>
        <v>1.0952684752815574</v>
      </c>
      <c r="I8" s="304">
        <f t="shared" ca="1" si="13"/>
        <v>1.0994516644882428</v>
      </c>
      <c r="J8" s="306">
        <f t="shared" ca="1" si="14"/>
        <v>1.4290213695358658E-3</v>
      </c>
      <c r="K8" s="307">
        <f t="shared" ca="1" si="15"/>
        <v>1.6334978981427592E-2</v>
      </c>
      <c r="L8" s="304">
        <f t="shared" ca="1" si="0"/>
        <v>1.6397366873930442E-2</v>
      </c>
      <c r="M8" s="306">
        <f t="shared" ca="1" si="16"/>
        <v>1.4835298641951802</v>
      </c>
      <c r="N8" s="304">
        <f t="shared" ca="1" si="17"/>
        <v>85</v>
      </c>
      <c r="P8" s="310">
        <f t="shared" ca="1" si="18"/>
        <v>2</v>
      </c>
      <c r="Q8" s="304">
        <f t="shared" ca="1" si="19"/>
        <v>647.84444444444443</v>
      </c>
      <c r="R8" s="306">
        <f t="shared" ca="1" si="20"/>
        <v>0.32452618225414559</v>
      </c>
      <c r="S8" s="307">
        <f t="shared" ca="1" si="21"/>
        <v>12.501664125453978</v>
      </c>
      <c r="T8" s="304">
        <f t="shared" ca="1" si="1"/>
        <v>122.64132507070353</v>
      </c>
      <c r="U8" s="311">
        <f t="shared" ca="1" si="2"/>
        <v>10.688895778094153</v>
      </c>
      <c r="V8" s="306">
        <f t="shared" ca="1" si="3"/>
        <v>1.2249979989667092</v>
      </c>
      <c r="W8" s="304">
        <f t="shared" ca="1" si="4"/>
        <v>6.154258680002263E-3</v>
      </c>
      <c r="Y8" s="314" t="str">
        <f t="shared" ca="1" si="22"/>
        <v/>
      </c>
      <c r="Z8" s="315" t="str">
        <f t="shared" ca="1" si="23"/>
        <v/>
      </c>
      <c r="AA8" s="316" t="str">
        <f t="shared" ca="1" si="24"/>
        <v/>
      </c>
      <c r="AC8" s="310" t="e">
        <f t="shared" ca="1" si="25"/>
        <v>#N/A</v>
      </c>
      <c r="AD8" s="323" t="e">
        <f t="shared" ca="1" si="26"/>
        <v>#N/A</v>
      </c>
      <c r="AE8" s="324">
        <f t="shared" ca="1" si="5"/>
        <v>1.6334978981427592E-2</v>
      </c>
      <c r="AG8" s="306">
        <f t="shared" ca="1" si="27"/>
        <v>42.047798939174321</v>
      </c>
      <c r="AH8" s="304">
        <f t="shared" ca="1" si="28"/>
        <v>51.820468927454343</v>
      </c>
    </row>
    <row r="9" spans="1:248" x14ac:dyDescent="0.25">
      <c r="A9" s="347">
        <f t="shared" ca="1" si="6"/>
        <v>0.01</v>
      </c>
      <c r="B9" s="304">
        <f t="shared" ca="1" si="7"/>
        <v>0.05</v>
      </c>
      <c r="D9" s="306">
        <f t="shared" ca="1" si="8"/>
        <v>4.3504305108950652</v>
      </c>
      <c r="E9" s="307">
        <f t="shared" ca="1" si="9"/>
        <v>49.728581614894416</v>
      </c>
      <c r="F9" s="304">
        <f t="shared" ca="1" si="10"/>
        <v>49.918514351484276</v>
      </c>
      <c r="G9" s="306">
        <f t="shared" ca="1" si="11"/>
        <v>0.13932147267499909</v>
      </c>
      <c r="H9" s="307">
        <f t="shared" ca="1" si="12"/>
        <v>1.5925542914305015</v>
      </c>
      <c r="I9" s="304">
        <f t="shared" ca="1" si="13"/>
        <v>1.5986368080030051</v>
      </c>
      <c r="J9" s="306">
        <f t="shared" ca="1" si="14"/>
        <v>2.6047145707411034E-3</v>
      </c>
      <c r="K9" s="307">
        <f t="shared" ca="1" si="15"/>
        <v>2.9774092814987885E-2</v>
      </c>
      <c r="L9" s="304">
        <f t="shared" ca="1" si="0"/>
        <v>2.9887809236385062E-2</v>
      </c>
      <c r="M9" s="306">
        <f t="shared" ca="1" si="16"/>
        <v>1.4835298641951802</v>
      </c>
      <c r="N9" s="304">
        <f t="shared" ca="1" si="17"/>
        <v>85</v>
      </c>
      <c r="P9" s="310">
        <f t="shared" ca="1" si="18"/>
        <v>2</v>
      </c>
      <c r="Q9" s="304">
        <f t="shared" ca="1" si="19"/>
        <v>746.02222222222224</v>
      </c>
      <c r="R9" s="306">
        <f t="shared" ca="1" si="20"/>
        <v>0.37370659844454851</v>
      </c>
      <c r="S9" s="307">
        <f t="shared" ca="1" si="21"/>
        <v>12.497927059469532</v>
      </c>
      <c r="T9" s="304">
        <f t="shared" ca="1" si="1"/>
        <v>122.60466445339611</v>
      </c>
      <c r="U9" s="311">
        <f t="shared" ca="1" si="2"/>
        <v>10.685700594763137</v>
      </c>
      <c r="V9" s="306">
        <f t="shared" ca="1" si="3"/>
        <v>1.2249963526790602</v>
      </c>
      <c r="W9" s="304">
        <f t="shared" ca="1" si="4"/>
        <v>1.3011354136151397E-2</v>
      </c>
      <c r="Y9" s="314" t="str">
        <f t="shared" ca="1" si="22"/>
        <v/>
      </c>
      <c r="Z9" s="315" t="str">
        <f t="shared" ca="1" si="23"/>
        <v/>
      </c>
      <c r="AA9" s="316" t="str">
        <f t="shared" ca="1" si="24"/>
        <v/>
      </c>
      <c r="AC9" s="310" t="e">
        <f t="shared" ca="1" si="25"/>
        <v>#N/A</v>
      </c>
      <c r="AD9" s="323" t="e">
        <f t="shared" ca="1" si="26"/>
        <v>#N/A</v>
      </c>
      <c r="AE9" s="324">
        <f t="shared" ca="1" si="5"/>
        <v>2.9774092814987885E-2</v>
      </c>
      <c r="AG9" s="306">
        <f t="shared" ca="1" si="27"/>
        <v>49.918514350829611</v>
      </c>
      <c r="AH9" s="304">
        <f t="shared" ca="1" si="28"/>
        <v>59.691184339109633</v>
      </c>
    </row>
    <row r="10" spans="1:248" x14ac:dyDescent="0.25">
      <c r="A10" s="347">
        <f t="shared" ca="1" si="6"/>
        <v>0.01</v>
      </c>
      <c r="B10" s="304">
        <f t="shared" ca="1" si="7"/>
        <v>6.0000000000000005E-2</v>
      </c>
      <c r="D10" s="306">
        <f t="shared" ca="1" si="8"/>
        <v>5.0369958343654684</v>
      </c>
      <c r="E10" s="307">
        <f t="shared" ca="1" si="9"/>
        <v>57.576446326887805</v>
      </c>
      <c r="F10" s="304">
        <f t="shared" ca="1" si="10"/>
        <v>57.796353679695116</v>
      </c>
      <c r="G10" s="306">
        <f t="shared" ca="1" si="11"/>
        <v>0.18969143101865377</v>
      </c>
      <c r="H10" s="307">
        <f t="shared" ca="1" si="12"/>
        <v>2.1683187546993796</v>
      </c>
      <c r="I10" s="304">
        <f t="shared" ca="1" si="13"/>
        <v>2.1766003447998838</v>
      </c>
      <c r="J10" s="306">
        <f t="shared" ca="1" si="14"/>
        <v>4.2497790892093677E-3</v>
      </c>
      <c r="K10" s="307">
        <f t="shared" ca="1" si="15"/>
        <v>4.8578458045637291E-2</v>
      </c>
      <c r="L10" s="304">
        <f t="shared" ca="1" si="0"/>
        <v>4.8763995000397818E-2</v>
      </c>
      <c r="M10" s="306">
        <f t="shared" ca="1" si="16"/>
        <v>1.4835298641951802</v>
      </c>
      <c r="N10" s="304">
        <f t="shared" ca="1" si="17"/>
        <v>85</v>
      </c>
      <c r="P10" s="310">
        <f t="shared" ca="1" si="18"/>
        <v>2</v>
      </c>
      <c r="Q10" s="304">
        <f t="shared" ca="1" si="19"/>
        <v>844.2</v>
      </c>
      <c r="R10" s="306">
        <f t="shared" ca="1" si="20"/>
        <v>0.42288701463495137</v>
      </c>
      <c r="S10" s="307">
        <f t="shared" ca="1" si="21"/>
        <v>12.493698189323183</v>
      </c>
      <c r="T10" s="304">
        <f t="shared" ca="1" si="1"/>
        <v>122.56317923726043</v>
      </c>
      <c r="U10" s="311">
        <f t="shared" ca="1" si="2"/>
        <v>10.682084919937784</v>
      </c>
      <c r="V10" s="306">
        <f t="shared" ca="1" si="3"/>
        <v>1.2249940491533438</v>
      </c>
      <c r="W10" s="304">
        <f t="shared" ca="1" si="4"/>
        <v>2.4120119304177519E-2</v>
      </c>
      <c r="Y10" s="314" t="str">
        <f t="shared" ca="1" si="22"/>
        <v/>
      </c>
      <c r="Z10" s="315" t="str">
        <f t="shared" ca="1" si="23"/>
        <v/>
      </c>
      <c r="AA10" s="316" t="str">
        <f t="shared" ca="1" si="24"/>
        <v/>
      </c>
      <c r="AC10" s="310" t="e">
        <f t="shared" ca="1" si="25"/>
        <v>#N/A</v>
      </c>
      <c r="AD10" s="323" t="e">
        <f t="shared" ca="1" si="26"/>
        <v>#N/A</v>
      </c>
      <c r="AE10" s="324">
        <f t="shared" ca="1" si="5"/>
        <v>4.8578458045637291E-2</v>
      </c>
      <c r="AG10" s="306">
        <f t="shared" ca="1" si="27"/>
        <v>57.796353678970569</v>
      </c>
      <c r="AH10" s="304">
        <f t="shared" ca="1" si="28"/>
        <v>67.56902366725059</v>
      </c>
    </row>
    <row r="11" spans="1:248" x14ac:dyDescent="0.25">
      <c r="A11" s="347">
        <f t="shared" ca="1" si="6"/>
        <v>0.01</v>
      </c>
      <c r="B11" s="304">
        <f t="shared" ca="1" si="7"/>
        <v>7.0000000000000007E-2</v>
      </c>
      <c r="D11" s="306">
        <f t="shared" ca="1" si="8"/>
        <v>5.7242553697001641</v>
      </c>
      <c r="E11" s="307">
        <f t="shared" ca="1" si="9"/>
        <v>65.432246324990885</v>
      </c>
      <c r="F11" s="304">
        <f t="shared" ca="1" si="10"/>
        <v>65.682158602407583</v>
      </c>
      <c r="G11" s="306">
        <f t="shared" ca="1" si="11"/>
        <v>0.24693398471565542</v>
      </c>
      <c r="H11" s="307">
        <f t="shared" ca="1" si="12"/>
        <v>2.8226412179492884</v>
      </c>
      <c r="I11" s="304">
        <f t="shared" ca="1" si="13"/>
        <v>2.8334219308238922</v>
      </c>
      <c r="J11" s="306">
        <f t="shared" ca="1" si="14"/>
        <v>6.4329061678809136E-3</v>
      </c>
      <c r="K11" s="307">
        <f t="shared" ca="1" si="15"/>
        <v>7.3533257908880628E-2</v>
      </c>
      <c r="L11" s="304">
        <f t="shared" ca="1" si="0"/>
        <v>7.3814106378514918E-2</v>
      </c>
      <c r="M11" s="306">
        <f t="shared" ca="1" si="16"/>
        <v>1.4835298641951802</v>
      </c>
      <c r="N11" s="304">
        <f t="shared" ca="1" si="17"/>
        <v>85</v>
      </c>
      <c r="P11" s="310">
        <f t="shared" ca="1" si="18"/>
        <v>2</v>
      </c>
      <c r="Q11" s="304">
        <f t="shared" ca="1" si="19"/>
        <v>942.37777777777774</v>
      </c>
      <c r="R11" s="306">
        <f t="shared" ca="1" si="20"/>
        <v>0.47206743082535424</v>
      </c>
      <c r="S11" s="307">
        <f t="shared" ca="1" si="21"/>
        <v>12.488977515014929</v>
      </c>
      <c r="T11" s="304">
        <f t="shared" ca="1" si="1"/>
        <v>122.51686942229645</v>
      </c>
      <c r="U11" s="311">
        <f t="shared" ca="1" si="2"/>
        <v>10.678048753618093</v>
      </c>
      <c r="V11" s="306">
        <f t="shared" ca="1" si="3"/>
        <v>1.2249909922090247</v>
      </c>
      <c r="W11" s="304">
        <f t="shared" ca="1" si="4"/>
        <v>4.0873655730218318E-2</v>
      </c>
      <c r="Y11" s="314" t="str">
        <f t="shared" ca="1" si="22"/>
        <v/>
      </c>
      <c r="Z11" s="315" t="str">
        <f t="shared" ca="1" si="23"/>
        <v/>
      </c>
      <c r="AA11" s="316" t="str">
        <f t="shared" ca="1" si="24"/>
        <v/>
      </c>
      <c r="AC11" s="310" t="e">
        <f t="shared" ca="1" si="25"/>
        <v>#N/A</v>
      </c>
      <c r="AD11" s="323" t="e">
        <f t="shared" ca="1" si="26"/>
        <v>#N/A</v>
      </c>
      <c r="AE11" s="324">
        <f t="shared" ca="1" si="5"/>
        <v>7.3533257908880628E-2</v>
      </c>
      <c r="AG11" s="306">
        <f t="shared" ca="1" si="27"/>
        <v>65.682158601612514</v>
      </c>
      <c r="AH11" s="304">
        <f t="shared" ca="1" si="28"/>
        <v>75.454828589892543</v>
      </c>
    </row>
    <row r="12" spans="1:248" x14ac:dyDescent="0.25">
      <c r="A12" s="347">
        <f t="shared" ca="1" si="6"/>
        <v>0.01</v>
      </c>
      <c r="B12" s="304">
        <f t="shared" ca="1" si="7"/>
        <v>0.08</v>
      </c>
      <c r="D12" s="306">
        <f t="shared" ca="1" si="8"/>
        <v>6.4122814032599669</v>
      </c>
      <c r="E12" s="307">
        <f t="shared" ca="1" si="9"/>
        <v>73.296807892356469</v>
      </c>
      <c r="F12" s="304">
        <f t="shared" ca="1" si="10"/>
        <v>73.576758558688923</v>
      </c>
      <c r="G12" s="306">
        <f t="shared" ca="1" si="11"/>
        <v>0.31105679874825509</v>
      </c>
      <c r="H12" s="307">
        <f t="shared" ca="1" si="12"/>
        <v>3.555609296872853</v>
      </c>
      <c r="I12" s="304">
        <f t="shared" ca="1" si="13"/>
        <v>3.5691895164107184</v>
      </c>
      <c r="J12" s="306">
        <f t="shared" ca="1" si="14"/>
        <v>9.2228600852004659E-3</v>
      </c>
      <c r="K12" s="307">
        <f t="shared" ca="1" si="15"/>
        <v>0.10542451048299134</v>
      </c>
      <c r="L12" s="304">
        <f t="shared" ca="1" si="0"/>
        <v>0.10582716361468607</v>
      </c>
      <c r="M12" s="306">
        <f t="shared" ca="1" si="16"/>
        <v>1.4835298641951802</v>
      </c>
      <c r="N12" s="304">
        <f t="shared" ca="1" si="17"/>
        <v>85</v>
      </c>
      <c r="P12" s="310">
        <f t="shared" ca="1" si="18"/>
        <v>2</v>
      </c>
      <c r="Q12" s="304">
        <f t="shared" ca="1" si="19"/>
        <v>1040.5555555555557</v>
      </c>
      <c r="R12" s="306">
        <f t="shared" ca="1" si="20"/>
        <v>0.52124784701575722</v>
      </c>
      <c r="S12" s="307">
        <f t="shared" ca="1" si="21"/>
        <v>12.483765036544771</v>
      </c>
      <c r="T12" s="304">
        <f t="shared" ca="1" si="1"/>
        <v>122.46573500850421</v>
      </c>
      <c r="U12" s="311">
        <f t="shared" ca="1" si="2"/>
        <v>10.673592095804064</v>
      </c>
      <c r="V12" s="306">
        <f t="shared" ca="1" si="3"/>
        <v>1.2249870855655409</v>
      </c>
      <c r="W12" s="304">
        <f t="shared" ca="1" si="4"/>
        <v>6.4857292207164671E-2</v>
      </c>
      <c r="Y12" s="314" t="str">
        <f t="shared" ca="1" si="22"/>
        <v/>
      </c>
      <c r="Z12" s="315" t="str">
        <f t="shared" ca="1" si="23"/>
        <v/>
      </c>
      <c r="AA12" s="316" t="str">
        <f t="shared" ca="1" si="24"/>
        <v/>
      </c>
      <c r="AC12" s="310" t="e">
        <f t="shared" ca="1" si="25"/>
        <v>#N/A</v>
      </c>
      <c r="AD12" s="323" t="e">
        <f t="shared" ca="1" si="26"/>
        <v>#N/A</v>
      </c>
      <c r="AE12" s="324">
        <f t="shared" ca="1" si="5"/>
        <v>0.10542451048299134</v>
      </c>
      <c r="AG12" s="306">
        <f t="shared" ca="1" si="27"/>
        <v>73.576758557822828</v>
      </c>
      <c r="AH12" s="304">
        <f t="shared" ca="1" si="28"/>
        <v>83.349428546102857</v>
      </c>
    </row>
    <row r="13" spans="1:248" x14ac:dyDescent="0.25">
      <c r="A13" s="347">
        <f t="shared" ca="1" si="6"/>
        <v>0.01</v>
      </c>
      <c r="B13" s="304">
        <f t="shared" ca="1" si="7"/>
        <v>0.09</v>
      </c>
      <c r="D13" s="306">
        <f t="shared" ca="1" si="8"/>
        <v>7.1011451751017978</v>
      </c>
      <c r="E13" s="307">
        <f t="shared" ca="1" si="9"/>
        <v>81.170945353010154</v>
      </c>
      <c r="F13" s="304">
        <f t="shared" ca="1" si="10"/>
        <v>81.480970982795924</v>
      </c>
      <c r="G13" s="306">
        <f t="shared" ca="1" si="11"/>
        <v>0.38206825049927307</v>
      </c>
      <c r="H13" s="307">
        <f t="shared" ca="1" si="12"/>
        <v>4.3673187504029549</v>
      </c>
      <c r="I13" s="304">
        <f t="shared" ca="1" si="13"/>
        <v>4.3839992262386183</v>
      </c>
      <c r="J13" s="306">
        <f t="shared" ca="1" si="14"/>
        <v>1.2688485331438107E-2</v>
      </c>
      <c r="K13" s="307">
        <f t="shared" ca="1" si="15"/>
        <v>0.14503915071937037</v>
      </c>
      <c r="L13" s="304">
        <f t="shared" ca="1" si="0"/>
        <v>0.14559310732793071</v>
      </c>
      <c r="M13" s="306">
        <f t="shared" ca="1" si="16"/>
        <v>1.4835298641951802</v>
      </c>
      <c r="N13" s="304">
        <f t="shared" ca="1" si="17"/>
        <v>85</v>
      </c>
      <c r="P13" s="310">
        <f t="shared" ca="1" si="18"/>
        <v>2</v>
      </c>
      <c r="Q13" s="304">
        <f t="shared" ca="1" si="19"/>
        <v>1138.7333333333331</v>
      </c>
      <c r="R13" s="306">
        <f t="shared" ca="1" si="20"/>
        <v>0.57042826320615991</v>
      </c>
      <c r="S13" s="307">
        <f t="shared" ca="1" si="21"/>
        <v>12.478060753912709</v>
      </c>
      <c r="T13" s="304">
        <f t="shared" ca="1" si="1"/>
        <v>122.40977599588368</v>
      </c>
      <c r="U13" s="311">
        <f t="shared" ca="1" si="2"/>
        <v>10.668714946495696</v>
      </c>
      <c r="V13" s="306">
        <f t="shared" ca="1" si="3"/>
        <v>1.2249822328328834</v>
      </c>
      <c r="W13" s="304">
        <f t="shared" ca="1" si="4"/>
        <v>9.7849545500091603E-2</v>
      </c>
      <c r="Y13" s="314" t="str">
        <f t="shared" ca="1" si="22"/>
        <v/>
      </c>
      <c r="Z13" s="315" t="str">
        <f t="shared" ca="1" si="23"/>
        <v/>
      </c>
      <c r="AA13" s="316" t="str">
        <f t="shared" ca="1" si="24"/>
        <v/>
      </c>
      <c r="AC13" s="310" t="e">
        <f t="shared" ca="1" si="25"/>
        <v>#N/A</v>
      </c>
      <c r="AD13" s="323" t="e">
        <f t="shared" ca="1" si="26"/>
        <v>#N/A</v>
      </c>
      <c r="AE13" s="324">
        <f t="shared" ca="1" si="5"/>
        <v>0.14503915071937037</v>
      </c>
      <c r="AG13" s="306">
        <f t="shared" ca="1" si="27"/>
        <v>81.480970981858462</v>
      </c>
      <c r="AH13" s="304">
        <f t="shared" ca="1" si="28"/>
        <v>91.253640970138491</v>
      </c>
    </row>
    <row r="14" spans="1:248" x14ac:dyDescent="0.25">
      <c r="A14" s="347">
        <f t="shared" ca="1" si="6"/>
        <v>0.01</v>
      </c>
      <c r="B14" s="304">
        <f t="shared" ca="1" si="7"/>
        <v>9.9999999999999992E-2</v>
      </c>
      <c r="D14" s="306">
        <f t="shared" ca="1" si="8"/>
        <v>7.7909168981706767</v>
      </c>
      <c r="E14" s="307">
        <f t="shared" ca="1" si="9"/>
        <v>89.055461291234693</v>
      </c>
      <c r="F14" s="304">
        <f t="shared" ca="1" si="10"/>
        <v>89.395601524397179</v>
      </c>
      <c r="G14" s="306">
        <f t="shared" ca="1" si="11"/>
        <v>0.45997741948097981</v>
      </c>
      <c r="H14" s="307">
        <f t="shared" ca="1" si="12"/>
        <v>5.2578733633153014</v>
      </c>
      <c r="I14" s="304">
        <f t="shared" ca="1" si="13"/>
        <v>5.277955241482533</v>
      </c>
      <c r="J14" s="306">
        <f t="shared" ca="1" si="14"/>
        <v>1.689871368133937E-2</v>
      </c>
      <c r="K14" s="307">
        <f t="shared" ca="1" si="15"/>
        <v>0.19316511128796165</v>
      </c>
      <c r="L14" s="304">
        <f t="shared" ca="1" si="0"/>
        <v>0.19390287966653436</v>
      </c>
      <c r="M14" s="306">
        <f t="shared" ca="1" si="16"/>
        <v>1.4835298641951802</v>
      </c>
      <c r="N14" s="304">
        <f t="shared" ca="1" si="17"/>
        <v>85</v>
      </c>
      <c r="P14" s="310">
        <f t="shared" ca="1" si="18"/>
        <v>2</v>
      </c>
      <c r="Q14" s="304">
        <f t="shared" ca="1" si="19"/>
        <v>1236.911111111111</v>
      </c>
      <c r="R14" s="306">
        <f t="shared" ca="1" si="20"/>
        <v>0.61960867939656283</v>
      </c>
      <c r="S14" s="307">
        <f t="shared" ca="1" si="21"/>
        <v>12.471864667118744</v>
      </c>
      <c r="T14" s="304">
        <f t="shared" ca="1" si="1"/>
        <v>122.34899238443489</v>
      </c>
      <c r="U14" s="311">
        <f t="shared" ca="1" si="2"/>
        <v>10.663417305692992</v>
      </c>
      <c r="V14" s="306">
        <f t="shared" ca="1" si="3"/>
        <v>1.2249763375024059</v>
      </c>
      <c r="W14" s="304">
        <f t="shared" ca="1" si="4"/>
        <v>0.14182317082995047</v>
      </c>
      <c r="Y14" s="314" t="str">
        <f t="shared" ca="1" si="22"/>
        <v/>
      </c>
      <c r="Z14" s="315" t="str">
        <f t="shared" ca="1" si="23"/>
        <v/>
      </c>
      <c r="AA14" s="316" t="str">
        <f t="shared" ca="1" si="24"/>
        <v/>
      </c>
      <c r="AC14" s="310" t="e">
        <f t="shared" ca="1" si="25"/>
        <v>#N/A</v>
      </c>
      <c r="AD14" s="323" t="e">
        <f t="shared" ca="1" si="26"/>
        <v>#N/A</v>
      </c>
      <c r="AE14" s="324">
        <f t="shared" ca="1" si="5"/>
        <v>0.19316511128796165</v>
      </c>
      <c r="AG14" s="306">
        <f t="shared" ca="1" si="27"/>
        <v>89.395601523388009</v>
      </c>
      <c r="AH14" s="304">
        <f t="shared" ca="1" si="28"/>
        <v>99.168271511668038</v>
      </c>
    </row>
    <row r="15" spans="1:248" x14ac:dyDescent="0.25">
      <c r="A15" s="347">
        <f t="shared" ca="1" si="6"/>
        <v>0.01</v>
      </c>
      <c r="B15" s="304">
        <f t="shared" ca="1" si="7"/>
        <v>0.10999999999999999</v>
      </c>
      <c r="D15" s="306">
        <f t="shared" ca="1" si="8"/>
        <v>8.0875646524534073</v>
      </c>
      <c r="E15" s="307">
        <f t="shared" ca="1" si="9"/>
        <v>92.446328080306301</v>
      </c>
      <c r="F15" s="304">
        <f t="shared" ca="1" si="10"/>
        <v>92.799419596995548</v>
      </c>
      <c r="G15" s="306">
        <f t="shared" ca="1" si="11"/>
        <v>0.54085306600551386</v>
      </c>
      <c r="H15" s="307">
        <f t="shared" ca="1" si="12"/>
        <v>6.1823366441183643</v>
      </c>
      <c r="I15" s="304">
        <f t="shared" ca="1" si="13"/>
        <v>6.2059494374524427</v>
      </c>
      <c r="J15" s="306">
        <f t="shared" ca="1" si="14"/>
        <v>2.1902866108771839E-2</v>
      </c>
      <c r="K15" s="307">
        <f t="shared" ca="1" si="15"/>
        <v>0.25036616132513001</v>
      </c>
      <c r="L15" s="304">
        <f t="shared" ca="1" si="0"/>
        <v>0.25132240306120701</v>
      </c>
      <c r="M15" s="306">
        <f t="shared" ca="1" si="16"/>
        <v>1.4835298641951802</v>
      </c>
      <c r="N15" s="304">
        <f t="shared" ca="1" si="17"/>
        <v>85</v>
      </c>
      <c r="P15" s="310">
        <f t="shared" ca="1" si="18"/>
        <v>3</v>
      </c>
      <c r="Q15" s="304">
        <f t="shared" ca="1" si="19"/>
        <v>1278.75</v>
      </c>
      <c r="R15" s="306">
        <f t="shared" ca="1" si="20"/>
        <v>0.64056712860038389</v>
      </c>
      <c r="S15" s="307">
        <f t="shared" ca="1" si="21"/>
        <v>12.465458995832741</v>
      </c>
      <c r="T15" s="304">
        <f t="shared" ca="1" si="1"/>
        <v>122.2861527491192</v>
      </c>
      <c r="U15" s="311">
        <f t="shared" ca="1" si="2"/>
        <v>10.65794047060306</v>
      </c>
      <c r="V15" s="306">
        <f t="shared" ca="1" si="3"/>
        <v>1.2249693305291676</v>
      </c>
      <c r="W15" s="304">
        <f t="shared" ca="1" si="4"/>
        <v>0.19607840548481331</v>
      </c>
      <c r="Y15" s="314" t="str">
        <f t="shared" ca="1" si="22"/>
        <v/>
      </c>
      <c r="Z15" s="315" t="str">
        <f t="shared" ca="1" si="23"/>
        <v/>
      </c>
      <c r="AA15" s="316" t="str">
        <f t="shared" ca="1" si="24"/>
        <v/>
      </c>
      <c r="AC15" s="310" t="e">
        <f t="shared" ca="1" si="25"/>
        <v>#N/A</v>
      </c>
      <c r="AD15" s="323" t="e">
        <f t="shared" ca="1" si="26"/>
        <v>#N/A</v>
      </c>
      <c r="AE15" s="324">
        <f t="shared" ca="1" si="5"/>
        <v>0.25036616132513001</v>
      </c>
      <c r="AG15" s="306">
        <f t="shared" ca="1" si="27"/>
        <v>92.79941959595547</v>
      </c>
      <c r="AH15" s="304">
        <f t="shared" ca="1" si="28"/>
        <v>102.5720895842355</v>
      </c>
    </row>
    <row r="16" spans="1:248" x14ac:dyDescent="0.25">
      <c r="A16" s="347">
        <f t="shared" ca="1" si="6"/>
        <v>0.01</v>
      </c>
      <c r="B16" s="304">
        <f t="shared" ca="1" si="7"/>
        <v>0.11999999999999998</v>
      </c>
      <c r="D16" s="306">
        <f t="shared" ca="1" si="8"/>
        <v>7.9903016425133409</v>
      </c>
      <c r="E16" s="307">
        <f t="shared" ca="1" si="9"/>
        <v>91.334552160886062</v>
      </c>
      <c r="F16" s="304">
        <f t="shared" ca="1" si="10"/>
        <v>91.68339729071981</v>
      </c>
      <c r="G16" s="306">
        <f t="shared" ca="1" si="11"/>
        <v>0.62075608243064728</v>
      </c>
      <c r="H16" s="307">
        <f t="shared" ca="1" si="12"/>
        <v>7.0956821657272249</v>
      </c>
      <c r="I16" s="304">
        <f t="shared" ca="1" si="13"/>
        <v>7.1227834103596077</v>
      </c>
      <c r="J16" s="306">
        <f t="shared" ca="1" si="14"/>
        <v>2.7710911850952643E-2</v>
      </c>
      <c r="K16" s="307">
        <f t="shared" ca="1" si="15"/>
        <v>0.31675625537435798</v>
      </c>
      <c r="L16" s="304">
        <f t="shared" ca="1" si="0"/>
        <v>0.31796606730026516</v>
      </c>
      <c r="M16" s="306">
        <f t="shared" ca="1" si="16"/>
        <v>1.4835298641951802</v>
      </c>
      <c r="N16" s="304">
        <f t="shared" ca="1" si="17"/>
        <v>85</v>
      </c>
      <c r="P16" s="310">
        <f t="shared" ca="1" si="18"/>
        <v>3</v>
      </c>
      <c r="Q16" s="304">
        <f t="shared" ca="1" si="19"/>
        <v>1264.25</v>
      </c>
      <c r="R16" s="306">
        <f t="shared" ca="1" si="20"/>
        <v>0.63330361081762288</v>
      </c>
      <c r="S16" s="307">
        <f t="shared" ca="1" si="21"/>
        <v>12.459125959724565</v>
      </c>
      <c r="T16" s="304">
        <f t="shared" ca="1" si="1"/>
        <v>122.22402566489799</v>
      </c>
      <c r="U16" s="311">
        <f t="shared" ca="1" si="2"/>
        <v>10.652525738433015</v>
      </c>
      <c r="V16" s="306">
        <f t="shared" ca="1" si="3"/>
        <v>1.2249611979732558</v>
      </c>
      <c r="W16" s="304">
        <f t="shared" ca="1" si="4"/>
        <v>0.25829136924663881</v>
      </c>
      <c r="Y16" s="314" t="str">
        <f t="shared" ca="1" si="22"/>
        <v/>
      </c>
      <c r="Z16" s="315" t="str">
        <f t="shared" ca="1" si="23"/>
        <v/>
      </c>
      <c r="AA16" s="316" t="str">
        <f t="shared" ca="1" si="24"/>
        <v/>
      </c>
      <c r="AC16" s="310" t="e">
        <f t="shared" ca="1" si="25"/>
        <v>#N/A</v>
      </c>
      <c r="AD16" s="323" t="e">
        <f t="shared" ca="1" si="26"/>
        <v>#N/A</v>
      </c>
      <c r="AE16" s="324">
        <f t="shared" ca="1" si="5"/>
        <v>0.31675625537435798</v>
      </c>
      <c r="AG16" s="306">
        <f t="shared" ca="1" si="27"/>
        <v>91.683397289689751</v>
      </c>
      <c r="AH16" s="304">
        <f t="shared" ca="1" si="28"/>
        <v>101.45606727796978</v>
      </c>
    </row>
    <row r="17" spans="1:34" x14ac:dyDescent="0.25">
      <c r="A17" s="347">
        <f t="shared" ca="1" si="6"/>
        <v>0.01</v>
      </c>
      <c r="B17" s="304">
        <f t="shared" ca="1" si="7"/>
        <v>0.12999999999999998</v>
      </c>
      <c r="D17" s="306">
        <f t="shared" ca="1" si="8"/>
        <v>7.889832135220658</v>
      </c>
      <c r="E17" s="307">
        <f t="shared" ca="1" si="9"/>
        <v>90.186124032609257</v>
      </c>
      <c r="F17" s="304">
        <f t="shared" ca="1" si="10"/>
        <v>90.530582783649095</v>
      </c>
      <c r="G17" s="306">
        <f t="shared" ca="1" si="11"/>
        <v>0.69965440378285382</v>
      </c>
      <c r="H17" s="307">
        <f t="shared" ca="1" si="12"/>
        <v>7.9975434060533175</v>
      </c>
      <c r="I17" s="304">
        <f t="shared" ca="1" si="13"/>
        <v>8.0280892381960758</v>
      </c>
      <c r="J17" s="306">
        <f t="shared" ca="1" si="14"/>
        <v>3.4312964282020145E-2</v>
      </c>
      <c r="K17" s="307">
        <f t="shared" ca="1" si="15"/>
        <v>0.3922223832332607</v>
      </c>
      <c r="L17" s="304">
        <f t="shared" ca="1" si="0"/>
        <v>0.39372043054304157</v>
      </c>
      <c r="M17" s="306">
        <f t="shared" ca="1" si="16"/>
        <v>1.4835298641951802</v>
      </c>
      <c r="N17" s="304">
        <f t="shared" ca="1" si="17"/>
        <v>85</v>
      </c>
      <c r="P17" s="310">
        <f t="shared" ca="1" si="18"/>
        <v>4</v>
      </c>
      <c r="Q17" s="304">
        <f t="shared" ca="1" si="19"/>
        <v>1249.3214285714287</v>
      </c>
      <c r="R17" s="306">
        <f t="shared" ca="1" si="20"/>
        <v>0.62582540778019913</v>
      </c>
      <c r="S17" s="307">
        <f t="shared" ca="1" si="21"/>
        <v>12.452867705646764</v>
      </c>
      <c r="T17" s="304">
        <f t="shared" ca="1" si="1"/>
        <v>122.16263219239475</v>
      </c>
      <c r="U17" s="311">
        <f t="shared" ca="1" si="2"/>
        <v>10.647174944737138</v>
      </c>
      <c r="V17" s="306">
        <f t="shared" ca="1" si="3"/>
        <v>1.2249519537002955</v>
      </c>
      <c r="W17" s="304">
        <f t="shared" ca="1" si="4"/>
        <v>0.32811910839887543</v>
      </c>
      <c r="Y17" s="314" t="str">
        <f t="shared" ca="1" si="22"/>
        <v/>
      </c>
      <c r="Z17" s="315" t="str">
        <f t="shared" ca="1" si="23"/>
        <v/>
      </c>
      <c r="AA17" s="316" t="str">
        <f t="shared" ca="1" si="24"/>
        <v/>
      </c>
      <c r="AC17" s="310" t="e">
        <f t="shared" ca="1" si="25"/>
        <v>#N/A</v>
      </c>
      <c r="AD17" s="323" t="e">
        <f t="shared" ca="1" si="26"/>
        <v>#N/A</v>
      </c>
      <c r="AE17" s="324">
        <f t="shared" ca="1" si="5"/>
        <v>0.3922223832332607</v>
      </c>
      <c r="AG17" s="306">
        <f t="shared" ca="1" si="27"/>
        <v>90.530582782629395</v>
      </c>
      <c r="AH17" s="304">
        <f t="shared" ca="1" si="28"/>
        <v>100.30325277090942</v>
      </c>
    </row>
    <row r="18" spans="1:34" x14ac:dyDescent="0.25">
      <c r="A18" s="347">
        <f t="shared" ca="1" si="6"/>
        <v>0.01</v>
      </c>
      <c r="B18" s="304">
        <f t="shared" ca="1" si="7"/>
        <v>0.13999999999999999</v>
      </c>
      <c r="D18" s="306">
        <f t="shared" ca="1" si="8"/>
        <v>7.7861540163422172</v>
      </c>
      <c r="E18" s="307">
        <f t="shared" ca="1" si="9"/>
        <v>89.001019527177291</v>
      </c>
      <c r="F18" s="304">
        <f t="shared" ca="1" si="10"/>
        <v>89.340951815184923</v>
      </c>
      <c r="G18" s="306">
        <f t="shared" ca="1" si="11"/>
        <v>0.77751594394627599</v>
      </c>
      <c r="H18" s="307">
        <f t="shared" ca="1" si="12"/>
        <v>8.8875536013250898</v>
      </c>
      <c r="I18" s="304">
        <f t="shared" ca="1" si="13"/>
        <v>8.9214987563479067</v>
      </c>
      <c r="J18" s="306">
        <f t="shared" ca="1" si="14"/>
        <v>4.1698816020665795E-2</v>
      </c>
      <c r="K18" s="307">
        <f t="shared" ca="1" si="15"/>
        <v>0.47664786827015271</v>
      </c>
      <c r="L18" s="304">
        <f t="shared" ca="1" si="0"/>
        <v>0.47846837051575958</v>
      </c>
      <c r="M18" s="306">
        <f t="shared" ca="1" si="16"/>
        <v>1.4835298641951802</v>
      </c>
      <c r="N18" s="304">
        <f t="shared" ca="1" si="17"/>
        <v>85</v>
      </c>
      <c r="P18" s="310">
        <f t="shared" ca="1" si="18"/>
        <v>4</v>
      </c>
      <c r="Q18" s="304">
        <f t="shared" ca="1" si="19"/>
        <v>1233.9642857142858</v>
      </c>
      <c r="R18" s="306">
        <f t="shared" ca="1" si="20"/>
        <v>0.61813251948811243</v>
      </c>
      <c r="S18" s="307">
        <f t="shared" ca="1" si="21"/>
        <v>12.446686380451883</v>
      </c>
      <c r="T18" s="304">
        <f t="shared" ca="1" si="1"/>
        <v>122.10199339223298</v>
      </c>
      <c r="U18" s="311">
        <f t="shared" ca="1" si="2"/>
        <v>10.641889925069712</v>
      </c>
      <c r="V18" s="306">
        <f t="shared" ca="1" si="3"/>
        <v>1.2249416120276622</v>
      </c>
      <c r="W18" s="304">
        <f t="shared" ca="1" si="4"/>
        <v>0.40520902730948566</v>
      </c>
      <c r="Y18" s="314" t="str">
        <f t="shared" ca="1" si="22"/>
        <v/>
      </c>
      <c r="Z18" s="315" t="str">
        <f t="shared" ca="1" si="23"/>
        <v/>
      </c>
      <c r="AA18" s="316" t="str">
        <f t="shared" ca="1" si="24"/>
        <v/>
      </c>
      <c r="AC18" s="310" t="e">
        <f t="shared" ca="1" si="25"/>
        <v>#N/A</v>
      </c>
      <c r="AD18" s="323" t="e">
        <f t="shared" ca="1" si="26"/>
        <v>#N/A</v>
      </c>
      <c r="AE18" s="324">
        <f t="shared" ca="1" si="5"/>
        <v>0.47664786827015271</v>
      </c>
      <c r="AG18" s="306">
        <f t="shared" ca="1" si="27"/>
        <v>89.340951814175895</v>
      </c>
      <c r="AH18" s="304">
        <f t="shared" ca="1" si="28"/>
        <v>99.113621802455924</v>
      </c>
    </row>
    <row r="19" spans="1:34" x14ac:dyDescent="0.25">
      <c r="A19" s="347">
        <f t="shared" ca="1" si="6"/>
        <v>0.01</v>
      </c>
      <c r="B19" s="304">
        <f t="shared" ca="1" si="7"/>
        <v>0.15</v>
      </c>
      <c r="D19" s="306">
        <f t="shared" ca="1" si="8"/>
        <v>7.6822692186252697</v>
      </c>
      <c r="E19" s="307">
        <f t="shared" ca="1" si="9"/>
        <v>87.81355258422532</v>
      </c>
      <c r="F19" s="304">
        <f t="shared" ca="1" si="10"/>
        <v>88.148949385741076</v>
      </c>
      <c r="G19" s="306">
        <f t="shared" ca="1" si="11"/>
        <v>0.85433863613252869</v>
      </c>
      <c r="H19" s="307">
        <f t="shared" ca="1" si="12"/>
        <v>9.7656891271673434</v>
      </c>
      <c r="I19" s="304">
        <f t="shared" ca="1" si="13"/>
        <v>9.8029882502053045</v>
      </c>
      <c r="J19" s="306">
        <f t="shared" ca="1" si="14"/>
        <v>4.985808892105982E-2</v>
      </c>
      <c r="K19" s="307">
        <f t="shared" ca="1" si="15"/>
        <v>0.56991408191261483</v>
      </c>
      <c r="L19" s="304">
        <f t="shared" ca="1" si="0"/>
        <v>0.57209080554852387</v>
      </c>
      <c r="M19" s="306">
        <f t="shared" ca="1" si="16"/>
        <v>1.4835298641951802</v>
      </c>
      <c r="N19" s="304">
        <f t="shared" ca="1" si="17"/>
        <v>85</v>
      </c>
      <c r="P19" s="310">
        <f t="shared" ca="1" si="18"/>
        <v>4</v>
      </c>
      <c r="Q19" s="304">
        <f t="shared" ca="1" si="19"/>
        <v>1218.6071428571429</v>
      </c>
      <c r="R19" s="306">
        <f t="shared" ca="1" si="20"/>
        <v>0.61043963119602562</v>
      </c>
      <c r="S19" s="307">
        <f t="shared" ca="1" si="21"/>
        <v>12.440581984139923</v>
      </c>
      <c r="T19" s="304">
        <f t="shared" ca="1" si="1"/>
        <v>122.04210926441266</v>
      </c>
      <c r="U19" s="311">
        <f t="shared" ca="1" si="2"/>
        <v>10.636670679430736</v>
      </c>
      <c r="V19" s="306">
        <f t="shared" ca="1" si="3"/>
        <v>1.2249301875143217</v>
      </c>
      <c r="W19" s="304">
        <f t="shared" ca="1" si="4"/>
        <v>0.48923372501452334</v>
      </c>
      <c r="Y19" s="314" t="str">
        <f t="shared" ca="1" si="22"/>
        <v/>
      </c>
      <c r="Z19" s="315" t="str">
        <f t="shared" ca="1" si="23"/>
        <v/>
      </c>
      <c r="AA19" s="316" t="str">
        <f t="shared" ca="1" si="24"/>
        <v/>
      </c>
      <c r="AC19" s="310" t="e">
        <f t="shared" ca="1" si="25"/>
        <v>#N/A</v>
      </c>
      <c r="AD19" s="323" t="e">
        <f t="shared" ca="1" si="26"/>
        <v>#N/A</v>
      </c>
      <c r="AE19" s="324">
        <f t="shared" ca="1" si="5"/>
        <v>0.56991408191261483</v>
      </c>
      <c r="AG19" s="306">
        <f t="shared" ca="1" si="27"/>
        <v>88.148949384742707</v>
      </c>
      <c r="AH19" s="304">
        <f t="shared" ca="1" si="28"/>
        <v>97.921619373022736</v>
      </c>
    </row>
    <row r="20" spans="1:34" x14ac:dyDescent="0.25">
      <c r="A20" s="347">
        <f t="shared" ca="1" si="6"/>
        <v>0.01</v>
      </c>
      <c r="B20" s="304">
        <f t="shared" ca="1" si="7"/>
        <v>0.16</v>
      </c>
      <c r="D20" s="306">
        <f t="shared" ca="1" si="8"/>
        <v>7.5781816605978021</v>
      </c>
      <c r="E20" s="307">
        <f t="shared" ca="1" si="9"/>
        <v>86.623767993685661</v>
      </c>
      <c r="F20" s="304">
        <f t="shared" ca="1" si="10"/>
        <v>86.954620456332862</v>
      </c>
      <c r="G20" s="306">
        <f t="shared" ca="1" si="11"/>
        <v>0.93012045273850674</v>
      </c>
      <c r="H20" s="307">
        <f t="shared" ca="1" si="12"/>
        <v>10.6319268071042</v>
      </c>
      <c r="I20" s="304">
        <f t="shared" ca="1" si="13"/>
        <v>10.672534454768623</v>
      </c>
      <c r="J20" s="306">
        <f t="shared" ca="1" si="14"/>
        <v>5.8780384365414995E-2</v>
      </c>
      <c r="K20" s="307">
        <f t="shared" ca="1" si="15"/>
        <v>0.67190216158397253</v>
      </c>
      <c r="L20" s="304">
        <f t="shared" ca="1" si="0"/>
        <v>0.67446841907339194</v>
      </c>
      <c r="M20" s="306">
        <f t="shared" ca="1" si="16"/>
        <v>1.4835298641951802</v>
      </c>
      <c r="N20" s="304">
        <f t="shared" ca="1" si="17"/>
        <v>85</v>
      </c>
      <c r="P20" s="310">
        <f t="shared" ca="1" si="18"/>
        <v>4</v>
      </c>
      <c r="Q20" s="304">
        <f t="shared" ca="1" si="19"/>
        <v>1203.25</v>
      </c>
      <c r="R20" s="306">
        <f t="shared" ca="1" si="20"/>
        <v>0.60274674290393893</v>
      </c>
      <c r="S20" s="307">
        <f t="shared" ca="1" si="21"/>
        <v>12.434554516710884</v>
      </c>
      <c r="T20" s="304">
        <f t="shared" ca="1" si="1"/>
        <v>121.98297980893378</v>
      </c>
      <c r="U20" s="311">
        <f t="shared" ca="1" si="2"/>
        <v>10.63151720782021</v>
      </c>
      <c r="V20" s="306">
        <f t="shared" ca="1" si="3"/>
        <v>1.22491769475026</v>
      </c>
      <c r="W20" s="304">
        <f t="shared" ca="1" si="4"/>
        <v>0.57986931106226858</v>
      </c>
      <c r="Y20" s="314" t="str">
        <f t="shared" ca="1" si="22"/>
        <v/>
      </c>
      <c r="Z20" s="315" t="str">
        <f t="shared" ca="1" si="23"/>
        <v/>
      </c>
      <c r="AA20" s="316" t="str">
        <f t="shared" ca="1" si="24"/>
        <v/>
      </c>
      <c r="AC20" s="310" t="e">
        <f t="shared" ca="1" si="25"/>
        <v>#N/A</v>
      </c>
      <c r="AD20" s="323" t="e">
        <f t="shared" ca="1" si="26"/>
        <v>#N/A</v>
      </c>
      <c r="AE20" s="324">
        <f t="shared" ca="1" si="5"/>
        <v>0.67190216158397253</v>
      </c>
      <c r="AG20" s="306">
        <f t="shared" ca="1" si="27"/>
        <v>86.954620455345179</v>
      </c>
      <c r="AH20" s="304">
        <f t="shared" ca="1" si="28"/>
        <v>96.727290443625208</v>
      </c>
    </row>
    <row r="21" spans="1:34" x14ac:dyDescent="0.25">
      <c r="A21" s="347">
        <f t="shared" ca="1" si="6"/>
        <v>0.01</v>
      </c>
      <c r="B21" s="304">
        <f t="shared" ca="1" si="7"/>
        <v>0.17</v>
      </c>
      <c r="D21" s="306">
        <f t="shared" ca="1" si="8"/>
        <v>7.4738952513503412</v>
      </c>
      <c r="E21" s="307">
        <f t="shared" ca="1" si="9"/>
        <v>85.431710437625185</v>
      </c>
      <c r="F21" s="304">
        <f t="shared" ca="1" si="10"/>
        <v>85.758009879698079</v>
      </c>
      <c r="G21" s="306">
        <f t="shared" ca="1" si="11"/>
        <v>1.0048594052520101</v>
      </c>
      <c r="H21" s="307">
        <f t="shared" ca="1" si="12"/>
        <v>11.486243911480452</v>
      </c>
      <c r="I21" s="304">
        <f t="shared" ca="1" si="13"/>
        <v>11.530114553565598</v>
      </c>
      <c r="J21" s="306">
        <f t="shared" ca="1" si="14"/>
        <v>6.8455283655367585E-2</v>
      </c>
      <c r="K21" s="307">
        <f t="shared" ca="1" si="15"/>
        <v>0.78249301517689585</v>
      </c>
      <c r="L21" s="304">
        <f t="shared" ca="1" si="0"/>
        <v>0.7854816641150616</v>
      </c>
      <c r="M21" s="306">
        <f t="shared" ca="1" si="16"/>
        <v>1.4835298641951802</v>
      </c>
      <c r="N21" s="304">
        <f t="shared" ca="1" si="17"/>
        <v>85</v>
      </c>
      <c r="P21" s="310">
        <f t="shared" ca="1" si="18"/>
        <v>4</v>
      </c>
      <c r="Q21" s="304">
        <f t="shared" ca="1" si="19"/>
        <v>1187.8928571428571</v>
      </c>
      <c r="R21" s="306">
        <f t="shared" ca="1" si="20"/>
        <v>0.59505385461185212</v>
      </c>
      <c r="S21" s="307">
        <f t="shared" ca="1" si="21"/>
        <v>12.428603978164766</v>
      </c>
      <c r="T21" s="304">
        <f t="shared" ca="1" si="1"/>
        <v>121.92460502579635</v>
      </c>
      <c r="U21" s="311">
        <f t="shared" ca="1" si="2"/>
        <v>10.626429510238134</v>
      </c>
      <c r="V21" s="306">
        <f t="shared" ca="1" si="3"/>
        <v>1.224904148355803</v>
      </c>
      <c r="W21" s="304">
        <f t="shared" ca="1" si="4"/>
        <v>0.67679545731834556</v>
      </c>
      <c r="Y21" s="314" t="str">
        <f t="shared" ca="1" si="22"/>
        <v/>
      </c>
      <c r="Z21" s="315" t="str">
        <f t="shared" ca="1" si="23"/>
        <v/>
      </c>
      <c r="AA21" s="316" t="str">
        <f t="shared" ca="1" si="24"/>
        <v/>
      </c>
      <c r="AC21" s="310" t="e">
        <f t="shared" ca="1" si="25"/>
        <v>#N/A</v>
      </c>
      <c r="AD21" s="323" t="e">
        <f t="shared" ca="1" si="26"/>
        <v>#N/A</v>
      </c>
      <c r="AE21" s="324">
        <f t="shared" ca="1" si="5"/>
        <v>0.78249301517689585</v>
      </c>
      <c r="AG21" s="306">
        <f t="shared" ca="1" si="27"/>
        <v>85.758009878721083</v>
      </c>
      <c r="AH21" s="304">
        <f t="shared" ca="1" si="28"/>
        <v>95.530679867001112</v>
      </c>
    </row>
    <row r="22" spans="1:34" x14ac:dyDescent="0.25">
      <c r="A22" s="347">
        <f t="shared" ca="1" si="6"/>
        <v>0.01</v>
      </c>
      <c r="B22" s="304">
        <f t="shared" ca="1" si="7"/>
        <v>0.18000000000000002</v>
      </c>
      <c r="D22" s="306">
        <f t="shared" ca="1" si="8"/>
        <v>7.3694138899075323</v>
      </c>
      <c r="E22" s="307">
        <f t="shared" ca="1" si="9"/>
        <v>84.237424483062128</v>
      </c>
      <c r="F22" s="304">
        <f t="shared" ca="1" si="10"/>
        <v>84.559162393086396</v>
      </c>
      <c r="G22" s="306">
        <f t="shared" ca="1" si="11"/>
        <v>1.0785535441510854</v>
      </c>
      <c r="H22" s="307">
        <f t="shared" ca="1" si="12"/>
        <v>12.328618156311073</v>
      </c>
      <c r="I22" s="304">
        <f t="shared" ca="1" si="13"/>
        <v>12.375706177496454</v>
      </c>
      <c r="J22" s="306">
        <f t="shared" ca="1" si="14"/>
        <v>7.8872348402383066E-2</v>
      </c>
      <c r="K22" s="307">
        <f t="shared" ca="1" si="15"/>
        <v>0.9015673255158535</v>
      </c>
      <c r="L22" s="304">
        <f t="shared" ca="1" si="0"/>
        <v>0.90501076777037071</v>
      </c>
      <c r="M22" s="306">
        <f t="shared" ca="1" si="16"/>
        <v>1.4835298641951802</v>
      </c>
      <c r="N22" s="304">
        <f t="shared" ca="1" si="17"/>
        <v>85</v>
      </c>
      <c r="P22" s="310">
        <f t="shared" ca="1" si="18"/>
        <v>4</v>
      </c>
      <c r="Q22" s="304">
        <f t="shared" ca="1" si="19"/>
        <v>1172.5357142857142</v>
      </c>
      <c r="R22" s="306">
        <f t="shared" ca="1" si="20"/>
        <v>0.58736096631976542</v>
      </c>
      <c r="S22" s="307">
        <f t="shared" ca="1" si="21"/>
        <v>12.422730368501568</v>
      </c>
      <c r="T22" s="304">
        <f t="shared" ca="1" si="1"/>
        <v>121.86698491500039</v>
      </c>
      <c r="U22" s="311">
        <f t="shared" ca="1" si="2"/>
        <v>10.621407586684509</v>
      </c>
      <c r="V22" s="306">
        <f t="shared" ca="1" si="3"/>
        <v>1.2248895629809449</v>
      </c>
      <c r="W22" s="304">
        <f t="shared" ca="1" si="4"/>
        <v>0.7796954488155875</v>
      </c>
      <c r="Y22" s="314" t="str">
        <f t="shared" ca="1" si="22"/>
        <v/>
      </c>
      <c r="Z22" s="315" t="str">
        <f t="shared" ca="1" si="23"/>
        <v/>
      </c>
      <c r="AA22" s="316" t="str">
        <f t="shared" ca="1" si="24"/>
        <v/>
      </c>
      <c r="AC22" s="310" t="e">
        <f t="shared" ca="1" si="25"/>
        <v>#N/A</v>
      </c>
      <c r="AD22" s="323" t="e">
        <f t="shared" ca="1" si="26"/>
        <v>#N/A</v>
      </c>
      <c r="AE22" s="324">
        <f t="shared" ca="1" si="5"/>
        <v>0.9015673255158535</v>
      </c>
      <c r="AG22" s="306">
        <f t="shared" ca="1" si="27"/>
        <v>84.559162392120072</v>
      </c>
      <c r="AH22" s="304">
        <f t="shared" ca="1" si="28"/>
        <v>94.331832380400101</v>
      </c>
    </row>
    <row r="23" spans="1:34" x14ac:dyDescent="0.25">
      <c r="A23" s="347">
        <f t="shared" ca="1" si="6"/>
        <v>0.01</v>
      </c>
      <c r="B23" s="304">
        <f t="shared" ca="1" si="7"/>
        <v>0.19000000000000003</v>
      </c>
      <c r="D23" s="306">
        <f t="shared" ca="1" si="8"/>
        <v>7.2647414646055264</v>
      </c>
      <c r="E23" s="307">
        <f t="shared" ca="1" si="9"/>
        <v>83.040954574849621</v>
      </c>
      <c r="F23" s="304">
        <f t="shared" ca="1" si="10"/>
        <v>83.358122611115689</v>
      </c>
      <c r="G23" s="306">
        <f t="shared" ca="1" si="11"/>
        <v>1.1512009587971406</v>
      </c>
      <c r="H23" s="307">
        <f t="shared" ca="1" si="12"/>
        <v>13.15902770205957</v>
      </c>
      <c r="I23" s="304">
        <f t="shared" ca="1" si="13"/>
        <v>13.209287403607608</v>
      </c>
      <c r="J23" s="306">
        <f t="shared" ca="1" si="14"/>
        <v>9.0021120917124192E-2</v>
      </c>
      <c r="K23" s="307">
        <f t="shared" ca="1" si="15"/>
        <v>1.0290055548077066</v>
      </c>
      <c r="L23" s="304">
        <f t="shared" ca="1" si="0"/>
        <v>1.0329357356758897</v>
      </c>
      <c r="M23" s="306">
        <f t="shared" ca="1" si="16"/>
        <v>1.4835298641951802</v>
      </c>
      <c r="N23" s="304">
        <f t="shared" ca="1" si="17"/>
        <v>85</v>
      </c>
      <c r="P23" s="310">
        <f t="shared" ca="1" si="18"/>
        <v>4</v>
      </c>
      <c r="Q23" s="304">
        <f t="shared" ca="1" si="19"/>
        <v>1157.1785714285713</v>
      </c>
      <c r="R23" s="306">
        <f t="shared" ca="1" si="20"/>
        <v>0.57966807802767872</v>
      </c>
      <c r="S23" s="307">
        <f t="shared" ca="1" si="21"/>
        <v>12.416933687721292</v>
      </c>
      <c r="T23" s="304">
        <f t="shared" ca="1" si="1"/>
        <v>121.81011947654588</v>
      </c>
      <c r="U23" s="311">
        <f t="shared" ca="1" si="2"/>
        <v>10.616451437159334</v>
      </c>
      <c r="V23" s="306">
        <f t="shared" ca="1" si="3"/>
        <v>1.2248739533046737</v>
      </c>
      <c r="W23" s="304">
        <f t="shared" ca="1" si="4"/>
        <v>0.8882562336439348</v>
      </c>
      <c r="Y23" s="314" t="str">
        <f t="shared" ca="1" si="22"/>
        <v/>
      </c>
      <c r="Z23" s="315" t="str">
        <f t="shared" ca="1" si="23"/>
        <v/>
      </c>
      <c r="AA23" s="316" t="str">
        <f t="shared" ca="1" si="24"/>
        <v/>
      </c>
      <c r="AC23" s="310" t="e">
        <f t="shared" ca="1" si="25"/>
        <v>#N/A</v>
      </c>
      <c r="AD23" s="323" t="e">
        <f t="shared" ca="1" si="26"/>
        <v>#N/A</v>
      </c>
      <c r="AE23" s="324">
        <f t="shared" ca="1" si="5"/>
        <v>1.0290055548077066</v>
      </c>
      <c r="AG23" s="306">
        <f t="shared" ca="1" si="27"/>
        <v>83.358122610160081</v>
      </c>
      <c r="AH23" s="304">
        <f t="shared" ca="1" si="28"/>
        <v>93.130792598440109</v>
      </c>
    </row>
    <row r="24" spans="1:34" x14ac:dyDescent="0.25">
      <c r="A24" s="347">
        <f t="shared" ca="1" si="6"/>
        <v>0.01</v>
      </c>
      <c r="B24" s="304">
        <f t="shared" ca="1" si="7"/>
        <v>0.20000000000000004</v>
      </c>
      <c r="D24" s="306">
        <f t="shared" ca="1" si="8"/>
        <v>7.1598818524753396</v>
      </c>
      <c r="E24" s="307">
        <f t="shared" ca="1" si="9"/>
        <v>81.842345028627619</v>
      </c>
      <c r="F24" s="304">
        <f t="shared" ca="1" si="10"/>
        <v>82.154935018697046</v>
      </c>
      <c r="G24" s="306">
        <f t="shared" ca="1" si="11"/>
        <v>1.2227997773218939</v>
      </c>
      <c r="H24" s="307">
        <f t="shared" ca="1" si="12"/>
        <v>13.977451152345846</v>
      </c>
      <c r="I24" s="304">
        <f t="shared" ca="1" si="13"/>
        <v>14.030836753794576</v>
      </c>
      <c r="J24" s="306">
        <f t="shared" ca="1" si="14"/>
        <v>0.10189112459771937</v>
      </c>
      <c r="K24" s="307">
        <f t="shared" ca="1" si="15"/>
        <v>1.1646879490797337</v>
      </c>
      <c r="L24" s="304">
        <f t="shared" ca="1" si="0"/>
        <v>1.1691363564628998</v>
      </c>
      <c r="M24" s="306">
        <f t="shared" ca="1" si="16"/>
        <v>1.4835298641951802</v>
      </c>
      <c r="N24" s="304">
        <f t="shared" ca="1" si="17"/>
        <v>85</v>
      </c>
      <c r="P24" s="310">
        <f t="shared" ca="1" si="18"/>
        <v>4</v>
      </c>
      <c r="Q24" s="304">
        <f t="shared" ca="1" si="19"/>
        <v>1141.8214285714284</v>
      </c>
      <c r="R24" s="306">
        <f t="shared" ca="1" si="20"/>
        <v>0.57197518973559192</v>
      </c>
      <c r="S24" s="307">
        <f t="shared" ca="1" si="21"/>
        <v>12.411213935823936</v>
      </c>
      <c r="T24" s="304">
        <f t="shared" ca="1" si="1"/>
        <v>121.75400871043281</v>
      </c>
      <c r="U24" s="311">
        <f t="shared" ca="1" si="2"/>
        <v>10.611561061662611</v>
      </c>
      <c r="V24" s="306">
        <f t="shared" ca="1" si="3"/>
        <v>1.2248573340343043</v>
      </c>
      <c r="W24" s="304">
        <f t="shared" ca="1" si="4"/>
        <v>1.0021684718760941</v>
      </c>
      <c r="Y24" s="314" t="str">
        <f t="shared" ca="1" si="22"/>
        <v/>
      </c>
      <c r="Z24" s="315" t="str">
        <f t="shared" ca="1" si="23"/>
        <v/>
      </c>
      <c r="AA24" s="316" t="str">
        <f t="shared" ca="1" si="24"/>
        <v/>
      </c>
      <c r="AC24" s="310" t="e">
        <f t="shared" ca="1" si="25"/>
        <v>#N/A</v>
      </c>
      <c r="AD24" s="323" t="e">
        <f t="shared" ca="1" si="26"/>
        <v>#N/A</v>
      </c>
      <c r="AE24" s="324">
        <f t="shared" ca="1" si="5"/>
        <v>1.1646879490797337</v>
      </c>
      <c r="AG24" s="306">
        <f t="shared" ca="1" si="27"/>
        <v>82.154935017752123</v>
      </c>
      <c r="AH24" s="304">
        <f t="shared" ca="1" si="28"/>
        <v>91.927605006032152</v>
      </c>
    </row>
    <row r="25" spans="1:34" x14ac:dyDescent="0.25">
      <c r="A25" s="347">
        <f t="shared" ca="1" si="6"/>
        <v>0.01</v>
      </c>
      <c r="B25" s="304">
        <f t="shared" ca="1" si="7"/>
        <v>0.21000000000000005</v>
      </c>
      <c r="D25" s="306">
        <f t="shared" ca="1" si="8"/>
        <v>7.0548389186322957</v>
      </c>
      <c r="E25" s="307">
        <f t="shared" ca="1" si="9"/>
        <v>80.64164002384382</v>
      </c>
      <c r="F25" s="304">
        <f t="shared" ca="1" si="10"/>
        <v>80.949643964029008</v>
      </c>
      <c r="G25" s="306">
        <f t="shared" ca="1" si="11"/>
        <v>1.2933481665082169</v>
      </c>
      <c r="H25" s="307">
        <f t="shared" ca="1" si="12"/>
        <v>14.783867552584285</v>
      </c>
      <c r="I25" s="304">
        <f t="shared" ca="1" si="13"/>
        <v>14.840333193434864</v>
      </c>
      <c r="J25" s="306">
        <f t="shared" ca="1" si="14"/>
        <v>0.11447186431686993</v>
      </c>
      <c r="K25" s="307">
        <f t="shared" ca="1" si="15"/>
        <v>1.3084945426043844</v>
      </c>
      <c r="L25" s="304">
        <f t="shared" ca="1" si="0"/>
        <v>1.3134922061990459</v>
      </c>
      <c r="M25" s="306">
        <f t="shared" ca="1" si="16"/>
        <v>1.4835298641951802</v>
      </c>
      <c r="N25" s="304">
        <f t="shared" ca="1" si="17"/>
        <v>85</v>
      </c>
      <c r="P25" s="310">
        <f t="shared" ca="1" si="18"/>
        <v>4</v>
      </c>
      <c r="Q25" s="304">
        <f t="shared" ca="1" si="19"/>
        <v>1126.4642857142858</v>
      </c>
      <c r="R25" s="306">
        <f t="shared" ca="1" si="20"/>
        <v>0.56428230144350533</v>
      </c>
      <c r="S25" s="307">
        <f t="shared" ca="1" si="21"/>
        <v>12.405571112809501</v>
      </c>
      <c r="T25" s="304">
        <f t="shared" ca="1" si="1"/>
        <v>121.69865261666121</v>
      </c>
      <c r="U25" s="311">
        <f t="shared" ca="1" si="2"/>
        <v>10.606736460194337</v>
      </c>
      <c r="V25" s="306">
        <f t="shared" ca="1" si="3"/>
        <v>1.2248397199048124</v>
      </c>
      <c r="W25" s="304">
        <f t="shared" ca="1" si="4"/>
        <v>1.1211265835251463</v>
      </c>
      <c r="Y25" s="314" t="str">
        <f t="shared" ca="1" si="22"/>
        <v/>
      </c>
      <c r="Z25" s="315" t="str">
        <f t="shared" ca="1" si="23"/>
        <v/>
      </c>
      <c r="AA25" s="316" t="str">
        <f t="shared" ca="1" si="24"/>
        <v/>
      </c>
      <c r="AC25" s="310" t="e">
        <f t="shared" ca="1" si="25"/>
        <v>#N/A</v>
      </c>
      <c r="AD25" s="323" t="e">
        <f t="shared" ca="1" si="26"/>
        <v>#N/A</v>
      </c>
      <c r="AE25" s="324">
        <f t="shared" ca="1" si="5"/>
        <v>1.3084945426043844</v>
      </c>
      <c r="AG25" s="306">
        <f t="shared" ca="1" si="27"/>
        <v>80.949643963094786</v>
      </c>
      <c r="AH25" s="304">
        <f t="shared" ca="1" si="28"/>
        <v>90.722313951374815</v>
      </c>
    </row>
    <row r="26" spans="1:34" x14ac:dyDescent="0.25">
      <c r="A26" s="347">
        <f t="shared" ca="1" si="6"/>
        <v>0.01</v>
      </c>
      <c r="B26" s="304">
        <f t="shared" ca="1" si="7"/>
        <v>0.22000000000000006</v>
      </c>
      <c r="D26" s="306">
        <f t="shared" ca="1" si="8"/>
        <v>6.9496165156716572</v>
      </c>
      <c r="E26" s="307">
        <f t="shared" ca="1" si="9"/>
        <v>79.438883596845841</v>
      </c>
      <c r="F26" s="304">
        <f t="shared" ca="1" si="10"/>
        <v>79.742293651663417</v>
      </c>
      <c r="G26" s="306">
        <f t="shared" ca="1" si="11"/>
        <v>1.3628443316649335</v>
      </c>
      <c r="H26" s="307">
        <f t="shared" ca="1" si="12"/>
        <v>15.578256388552743</v>
      </c>
      <c r="I26" s="304">
        <f t="shared" ca="1" si="13"/>
        <v>15.637756129951496</v>
      </c>
      <c r="J26" s="306">
        <f t="shared" ca="1" si="14"/>
        <v>0.12775282680773567</v>
      </c>
      <c r="K26" s="307">
        <f t="shared" ca="1" si="15"/>
        <v>1.4603051623100696</v>
      </c>
      <c r="L26" s="304">
        <f t="shared" ca="1" si="0"/>
        <v>1.465882652815977</v>
      </c>
      <c r="M26" s="306">
        <f t="shared" ca="1" si="16"/>
        <v>1.4835298641951802</v>
      </c>
      <c r="N26" s="304">
        <f t="shared" ca="1" si="17"/>
        <v>85</v>
      </c>
      <c r="P26" s="310">
        <f t="shared" ca="1" si="18"/>
        <v>4</v>
      </c>
      <c r="Q26" s="304">
        <f t="shared" ca="1" si="19"/>
        <v>1111.1071428571427</v>
      </c>
      <c r="R26" s="306">
        <f t="shared" ca="1" si="20"/>
        <v>0.55658941315141852</v>
      </c>
      <c r="S26" s="307">
        <f t="shared" ca="1" si="21"/>
        <v>12.400005218677986</v>
      </c>
      <c r="T26" s="304">
        <f t="shared" ca="1" si="1"/>
        <v>121.64405119523104</v>
      </c>
      <c r="U26" s="311">
        <f t="shared" ca="1" si="2"/>
        <v>10.601977632754513</v>
      </c>
      <c r="V26" s="306">
        <f t="shared" ca="1" si="3"/>
        <v>1.224821125678172</v>
      </c>
      <c r="W26" s="304">
        <f t="shared" ca="1" si="4"/>
        <v>1.2448287955307149</v>
      </c>
      <c r="Y26" s="314" t="str">
        <f t="shared" ca="1" si="22"/>
        <v/>
      </c>
      <c r="Z26" s="315" t="str">
        <f t="shared" ca="1" si="23"/>
        <v/>
      </c>
      <c r="AA26" s="316" t="str">
        <f t="shared" ca="1" si="24"/>
        <v/>
      </c>
      <c r="AC26" s="310" t="e">
        <f t="shared" ca="1" si="25"/>
        <v>#N/A</v>
      </c>
      <c r="AD26" s="323" t="e">
        <f t="shared" ca="1" si="26"/>
        <v>#N/A</v>
      </c>
      <c r="AE26" s="324">
        <f t="shared" ca="1" si="5"/>
        <v>1.4603051623100696</v>
      </c>
      <c r="AG26" s="306">
        <f t="shared" ca="1" si="27"/>
        <v>79.74229365073991</v>
      </c>
      <c r="AH26" s="304">
        <f t="shared" ca="1" si="28"/>
        <v>89.514963639019939</v>
      </c>
    </row>
    <row r="27" spans="1:34" x14ac:dyDescent="0.25">
      <c r="A27" s="347">
        <f t="shared" ca="1" si="6"/>
        <v>0.01</v>
      </c>
      <c r="B27" s="304">
        <f t="shared" ca="1" si="7"/>
        <v>0.23000000000000007</v>
      </c>
      <c r="D27" s="306">
        <f t="shared" ca="1" si="8"/>
        <v>6.844218483070641</v>
      </c>
      <c r="E27" s="307">
        <f t="shared" ca="1" si="9"/>
        <v>78.234119634046181</v>
      </c>
      <c r="F27" s="304">
        <f t="shared" ca="1" si="10"/>
        <v>78.532928135644198</v>
      </c>
      <c r="G27" s="306">
        <f t="shared" ca="1" si="11"/>
        <v>1.4312865164956399</v>
      </c>
      <c r="H27" s="307">
        <f t="shared" ca="1" si="12"/>
        <v>16.360597584893206</v>
      </c>
      <c r="I27" s="304">
        <f t="shared" ca="1" si="13"/>
        <v>16.423085411307937</v>
      </c>
      <c r="J27" s="306">
        <f t="shared" ca="1" si="14"/>
        <v>0.14172348104853855</v>
      </c>
      <c r="K27" s="307">
        <f t="shared" ca="1" si="15"/>
        <v>1.6199994321772992</v>
      </c>
      <c r="L27" s="304">
        <f t="shared" ca="1" si="0"/>
        <v>1.6261868605222731</v>
      </c>
      <c r="M27" s="306">
        <f t="shared" ca="1" si="16"/>
        <v>1.4835298641951802</v>
      </c>
      <c r="N27" s="304">
        <f t="shared" ca="1" si="17"/>
        <v>85</v>
      </c>
      <c r="P27" s="310">
        <f t="shared" ca="1" si="18"/>
        <v>4</v>
      </c>
      <c r="Q27" s="304">
        <f t="shared" ca="1" si="19"/>
        <v>1095.75</v>
      </c>
      <c r="R27" s="306">
        <f t="shared" ca="1" si="20"/>
        <v>0.54889652485933182</v>
      </c>
      <c r="S27" s="307">
        <f t="shared" ca="1" si="21"/>
        <v>12.394516253429392</v>
      </c>
      <c r="T27" s="304">
        <f t="shared" ca="1" si="1"/>
        <v>121.59020444614235</v>
      </c>
      <c r="U27" s="311">
        <f t="shared" ca="1" si="2"/>
        <v>10.597284579343141</v>
      </c>
      <c r="V27" s="306">
        <f t="shared" ca="1" si="3"/>
        <v>1.2248015661426954</v>
      </c>
      <c r="W27" s="304">
        <f t="shared" ca="1" si="4"/>
        <v>1.372977187770769</v>
      </c>
      <c r="Y27" s="314" t="str">
        <f t="shared" ca="1" si="22"/>
        <v/>
      </c>
      <c r="Z27" s="315" t="str">
        <f t="shared" ca="1" si="23"/>
        <v/>
      </c>
      <c r="AA27" s="316" t="str">
        <f t="shared" ca="1" si="24"/>
        <v/>
      </c>
      <c r="AC27" s="310" t="e">
        <f t="shared" ca="1" si="25"/>
        <v>#N/A</v>
      </c>
      <c r="AD27" s="323" t="e">
        <f t="shared" ca="1" si="26"/>
        <v>#N/A</v>
      </c>
      <c r="AE27" s="324">
        <f t="shared" ca="1" si="5"/>
        <v>1.6199994321772992</v>
      </c>
      <c r="AG27" s="306">
        <f t="shared" ca="1" si="27"/>
        <v>78.532928134731407</v>
      </c>
      <c r="AH27" s="304">
        <f t="shared" ca="1" si="28"/>
        <v>88.305598123011436</v>
      </c>
    </row>
    <row r="28" spans="1:34" x14ac:dyDescent="0.25">
      <c r="A28" s="347">
        <f t="shared" ca="1" si="6"/>
        <v>0.01</v>
      </c>
      <c r="B28" s="304">
        <f t="shared" ca="1" si="7"/>
        <v>0.24000000000000007</v>
      </c>
      <c r="D28" s="306">
        <f t="shared" ca="1" si="8"/>
        <v>6.7386486465968218</v>
      </c>
      <c r="E28" s="307">
        <f t="shared" ca="1" si="9"/>
        <v>77.027391865160084</v>
      </c>
      <c r="F28" s="304">
        <f t="shared" ca="1" si="10"/>
        <v>77.321591312719448</v>
      </c>
      <c r="G28" s="306">
        <f t="shared" ca="1" si="11"/>
        <v>1.498673002961608</v>
      </c>
      <c r="H28" s="307">
        <f t="shared" ca="1" si="12"/>
        <v>17.130871503544807</v>
      </c>
      <c r="I28" s="304">
        <f t="shared" ca="1" si="13"/>
        <v>17.196301324435133</v>
      </c>
      <c r="J28" s="306">
        <f t="shared" ca="1" si="14"/>
        <v>0.15637327864582479</v>
      </c>
      <c r="K28" s="307">
        <f t="shared" ca="1" si="15"/>
        <v>1.7874567776194894</v>
      </c>
      <c r="L28" s="304">
        <f t="shared" ca="1" si="0"/>
        <v>1.7942837942009882</v>
      </c>
      <c r="M28" s="306">
        <f t="shared" ca="1" si="16"/>
        <v>1.4835298641951802</v>
      </c>
      <c r="N28" s="304">
        <f t="shared" ca="1" si="17"/>
        <v>85</v>
      </c>
      <c r="P28" s="310">
        <f t="shared" ca="1" si="18"/>
        <v>4</v>
      </c>
      <c r="Q28" s="304">
        <f t="shared" ca="1" si="19"/>
        <v>1080.3928571428571</v>
      </c>
      <c r="R28" s="306">
        <f t="shared" ca="1" si="20"/>
        <v>0.54120363656724513</v>
      </c>
      <c r="S28" s="307">
        <f t="shared" ca="1" si="21"/>
        <v>12.38910421706372</v>
      </c>
      <c r="T28" s="304">
        <f t="shared" ca="1" si="1"/>
        <v>121.53711236939509</v>
      </c>
      <c r="U28" s="311">
        <f t="shared" ca="1" si="2"/>
        <v>10.592657299960218</v>
      </c>
      <c r="V28" s="306">
        <f t="shared" ca="1" si="3"/>
        <v>1.2247810561123784</v>
      </c>
      <c r="W28" s="304">
        <f t="shared" ca="1" si="4"/>
        <v>1.5052777380965532</v>
      </c>
      <c r="Y28" s="314" t="str">
        <f t="shared" ca="1" si="22"/>
        <v/>
      </c>
      <c r="Z28" s="315" t="str">
        <f t="shared" ca="1" si="23"/>
        <v/>
      </c>
      <c r="AA28" s="316" t="str">
        <f t="shared" ca="1" si="24"/>
        <v/>
      </c>
      <c r="AC28" s="310" t="e">
        <f t="shared" ca="1" si="25"/>
        <v>#N/A</v>
      </c>
      <c r="AD28" s="323" t="e">
        <f t="shared" ca="1" si="26"/>
        <v>#N/A</v>
      </c>
      <c r="AE28" s="324">
        <f t="shared" ca="1" si="5"/>
        <v>1.7874567776194894</v>
      </c>
      <c r="AG28" s="306">
        <f t="shared" ca="1" si="27"/>
        <v>77.321591311817372</v>
      </c>
      <c r="AH28" s="304">
        <f t="shared" ca="1" si="28"/>
        <v>87.094261300097401</v>
      </c>
    </row>
    <row r="29" spans="1:34" x14ac:dyDescent="0.25">
      <c r="A29" s="347">
        <f t="shared" ca="1" si="6"/>
        <v>0.01</v>
      </c>
      <c r="B29" s="304">
        <f t="shared" ca="1" si="7"/>
        <v>0.25000000000000006</v>
      </c>
      <c r="D29" s="306">
        <f t="shared" ca="1" si="8"/>
        <v>6.6329108177231619</v>
      </c>
      <c r="E29" s="307">
        <f t="shared" ca="1" si="9"/>
        <v>75.818743856519376</v>
      </c>
      <c r="F29" s="304">
        <f t="shared" ca="1" si="10"/>
        <v>76.108326915629689</v>
      </c>
      <c r="G29" s="306">
        <f t="shared" ca="1" si="11"/>
        <v>1.5650021111388397</v>
      </c>
      <c r="H29" s="307">
        <f t="shared" ca="1" si="12"/>
        <v>17.889058942110001</v>
      </c>
      <c r="I29" s="304">
        <f t="shared" ca="1" si="13"/>
        <v>17.957384593591428</v>
      </c>
      <c r="J29" s="306">
        <f t="shared" ca="1" si="14"/>
        <v>0.17169165421632704</v>
      </c>
      <c r="K29" s="307">
        <f t="shared" ca="1" si="15"/>
        <v>1.9625564298477634</v>
      </c>
      <c r="L29" s="304">
        <f t="shared" ca="1" si="0"/>
        <v>1.97005222379112</v>
      </c>
      <c r="M29" s="306">
        <f t="shared" ca="1" si="16"/>
        <v>1.4835298641951802</v>
      </c>
      <c r="N29" s="304">
        <f t="shared" ca="1" si="17"/>
        <v>85</v>
      </c>
      <c r="P29" s="310">
        <f t="shared" ca="1" si="18"/>
        <v>4</v>
      </c>
      <c r="Q29" s="304">
        <f t="shared" ca="1" si="19"/>
        <v>1065.0357142857142</v>
      </c>
      <c r="R29" s="306">
        <f t="shared" ca="1" si="20"/>
        <v>0.53351074827515843</v>
      </c>
      <c r="S29" s="307">
        <f t="shared" ca="1" si="21"/>
        <v>12.383769109580967</v>
      </c>
      <c r="T29" s="304">
        <f t="shared" ca="1" si="1"/>
        <v>121.4847749649893</v>
      </c>
      <c r="U29" s="311">
        <f t="shared" ca="1" si="2"/>
        <v>10.588095794605747</v>
      </c>
      <c r="V29" s="306">
        <f t="shared" ca="1" si="3"/>
        <v>1.224759610426249</v>
      </c>
      <c r="W29" s="304">
        <f t="shared" ca="1" si="4"/>
        <v>1.6414403663885848</v>
      </c>
      <c r="Y29" s="314" t="str">
        <f t="shared" ca="1" si="22"/>
        <v/>
      </c>
      <c r="Z29" s="315" t="str">
        <f t="shared" ca="1" si="23"/>
        <v/>
      </c>
      <c r="AA29" s="316" t="str">
        <f t="shared" ca="1" si="24"/>
        <v/>
      </c>
      <c r="AC29" s="310" t="e">
        <f t="shared" ca="1" si="25"/>
        <v>#N/A</v>
      </c>
      <c r="AD29" s="323" t="e">
        <f t="shared" ca="1" si="26"/>
        <v>#N/A</v>
      </c>
      <c r="AE29" s="324">
        <f t="shared" ca="1" si="5"/>
        <v>1.9625564298477634</v>
      </c>
      <c r="AG29" s="306">
        <f t="shared" ca="1" si="27"/>
        <v>76.108326914738342</v>
      </c>
      <c r="AH29" s="304">
        <f t="shared" ca="1" si="28"/>
        <v>85.880996903018371</v>
      </c>
    </row>
    <row r="30" spans="1:34" x14ac:dyDescent="0.25">
      <c r="A30" s="347">
        <f t="shared" ca="1" si="6"/>
        <v>0.01</v>
      </c>
      <c r="B30" s="304">
        <f t="shared" ca="1" si="7"/>
        <v>0.26000000000000006</v>
      </c>
      <c r="D30" s="306">
        <f t="shared" ca="1" si="8"/>
        <v>6.527008793049685</v>
      </c>
      <c r="E30" s="307">
        <f t="shared" ca="1" si="9"/>
        <v>74.608219004462001</v>
      </c>
      <c r="F30" s="304">
        <f t="shared" ca="1" si="10"/>
        <v>74.893178506472225</v>
      </c>
      <c r="G30" s="306">
        <f t="shared" ca="1" si="11"/>
        <v>1.6302721990693365</v>
      </c>
      <c r="H30" s="307">
        <f t="shared" ca="1" si="12"/>
        <v>18.635141132154622</v>
      </c>
      <c r="I30" s="304">
        <f t="shared" ca="1" si="13"/>
        <v>18.706316378656155</v>
      </c>
      <c r="J30" s="306">
        <f t="shared" ca="1" si="14"/>
        <v>0.18766802576736791</v>
      </c>
      <c r="K30" s="307">
        <f t="shared" ca="1" si="15"/>
        <v>2.1451774302190865</v>
      </c>
      <c r="L30" s="304">
        <f t="shared" ca="1" si="0"/>
        <v>2.1533707286523573</v>
      </c>
      <c r="M30" s="306">
        <f t="shared" ca="1" si="16"/>
        <v>1.4835298641951802</v>
      </c>
      <c r="N30" s="304">
        <f t="shared" ca="1" si="17"/>
        <v>85</v>
      </c>
      <c r="P30" s="310">
        <f t="shared" ca="1" si="18"/>
        <v>4</v>
      </c>
      <c r="Q30" s="304">
        <f t="shared" ca="1" si="19"/>
        <v>1049.6785714285713</v>
      </c>
      <c r="R30" s="306">
        <f t="shared" ca="1" si="20"/>
        <v>0.52581785998307162</v>
      </c>
      <c r="S30" s="307">
        <f t="shared" ca="1" si="21"/>
        <v>12.378510930981136</v>
      </c>
      <c r="T30" s="304">
        <f t="shared" ca="1" si="1"/>
        <v>121.43319223292495</v>
      </c>
      <c r="U30" s="311">
        <f t="shared" ca="1" si="2"/>
        <v>10.583600063279725</v>
      </c>
      <c r="V30" s="306">
        <f t="shared" ca="1" si="3"/>
        <v>1.224737243947716</v>
      </c>
      <c r="W30" s="304">
        <f t="shared" ca="1" si="4"/>
        <v>1.7811789776320912</v>
      </c>
      <c r="Y30" s="314" t="str">
        <f t="shared" ca="1" si="22"/>
        <v/>
      </c>
      <c r="Z30" s="315" t="str">
        <f t="shared" ca="1" si="23"/>
        <v/>
      </c>
      <c r="AA30" s="316" t="str">
        <f t="shared" ca="1" si="24"/>
        <v/>
      </c>
      <c r="AC30" s="310" t="e">
        <f t="shared" ca="1" si="25"/>
        <v>#N/A</v>
      </c>
      <c r="AD30" s="323" t="e">
        <f t="shared" ca="1" si="26"/>
        <v>#N/A</v>
      </c>
      <c r="AE30" s="324">
        <f t="shared" ca="1" si="5"/>
        <v>2.1451774302190865</v>
      </c>
      <c r="AG30" s="306">
        <f t="shared" ca="1" si="27"/>
        <v>74.893178505591592</v>
      </c>
      <c r="AH30" s="304">
        <f t="shared" ca="1" si="28"/>
        <v>84.665848493871621</v>
      </c>
    </row>
    <row r="31" spans="1:34" x14ac:dyDescent="0.25">
      <c r="A31" s="347">
        <f t="shared" ca="1" si="6"/>
        <v>0.01</v>
      </c>
      <c r="B31" s="304">
        <f t="shared" ca="1" si="7"/>
        <v>0.27000000000000007</v>
      </c>
      <c r="D31" s="306">
        <f t="shared" ca="1" si="8"/>
        <v>6.4738786900565337</v>
      </c>
      <c r="E31" s="307">
        <f t="shared" ca="1" si="9"/>
        <v>74.000909748081227</v>
      </c>
      <c r="F31" s="304">
        <f t="shared" ca="1" si="10"/>
        <v>74.283549651569771</v>
      </c>
      <c r="G31" s="306">
        <f t="shared" ca="1" si="11"/>
        <v>1.6950109859699019</v>
      </c>
      <c r="H31" s="307">
        <f t="shared" ca="1" si="12"/>
        <v>19.375150229635434</v>
      </c>
      <c r="I31" s="304">
        <f t="shared" ca="1" si="13"/>
        <v>19.44915187517185</v>
      </c>
      <c r="J31" s="306">
        <f t="shared" ca="1" si="14"/>
        <v>0.20429444169256411</v>
      </c>
      <c r="K31" s="307">
        <f t="shared" ca="1" si="15"/>
        <v>2.3352288870280367</v>
      </c>
      <c r="L31" s="304">
        <f t="shared" ca="1" si="0"/>
        <v>2.3441480699214967</v>
      </c>
      <c r="M31" s="306">
        <f t="shared" ca="1" si="16"/>
        <v>1.4835298641951802</v>
      </c>
      <c r="N31" s="304">
        <f t="shared" ca="1" si="17"/>
        <v>85</v>
      </c>
      <c r="P31" s="310">
        <f t="shared" ca="1" si="18"/>
        <v>5</v>
      </c>
      <c r="Q31" s="304">
        <f t="shared" ca="1" si="19"/>
        <v>1041.8333333333333</v>
      </c>
      <c r="R31" s="306">
        <f t="shared" ca="1" si="20"/>
        <v>0.52188792712688159</v>
      </c>
      <c r="S31" s="307">
        <f t="shared" ca="1" si="21"/>
        <v>12.373292051709868</v>
      </c>
      <c r="T31" s="304">
        <f t="shared" ca="1" si="1"/>
        <v>121.3819950272738</v>
      </c>
      <c r="U31" s="311">
        <f t="shared" ca="1" si="2"/>
        <v>10.579137932794595</v>
      </c>
      <c r="V31" s="306">
        <f t="shared" ca="1" si="3"/>
        <v>1.2247139678588652</v>
      </c>
      <c r="W31" s="304">
        <f t="shared" ca="1" si="4"/>
        <v>1.9254138509908045</v>
      </c>
      <c r="Y31" s="314" t="str">
        <f t="shared" ca="1" si="22"/>
        <v/>
      </c>
      <c r="Z31" s="315" t="str">
        <f t="shared" ca="1" si="23"/>
        <v/>
      </c>
      <c r="AA31" s="316" t="str">
        <f t="shared" ca="1" si="24"/>
        <v/>
      </c>
      <c r="AC31" s="310" t="e">
        <f t="shared" ca="1" si="25"/>
        <v>#N/A</v>
      </c>
      <c r="AD31" s="323" t="e">
        <f t="shared" ca="1" si="26"/>
        <v>#N/A</v>
      </c>
      <c r="AE31" s="324">
        <f t="shared" ca="1" si="5"/>
        <v>2.3352288870280367</v>
      </c>
      <c r="AG31" s="306">
        <f t="shared" ca="1" si="27"/>
        <v>74.283549650694397</v>
      </c>
      <c r="AH31" s="304">
        <f t="shared" ca="1" si="28"/>
        <v>84.056219638974426</v>
      </c>
    </row>
    <row r="32" spans="1:34" x14ac:dyDescent="0.25">
      <c r="A32" s="347">
        <f t="shared" ca="1" si="6"/>
        <v>0.01</v>
      </c>
      <c r="B32" s="304">
        <f t="shared" ca="1" si="7"/>
        <v>0.28000000000000008</v>
      </c>
      <c r="D32" s="306">
        <f t="shared" ca="1" si="8"/>
        <v>6.473603620597931</v>
      </c>
      <c r="E32" s="307">
        <f t="shared" ca="1" si="9"/>
        <v>73.99776611077462</v>
      </c>
      <c r="F32" s="304">
        <f t="shared" ca="1" si="10"/>
        <v>74.280394002869457</v>
      </c>
      <c r="G32" s="306">
        <f t="shared" ca="1" si="11"/>
        <v>1.7597470221758811</v>
      </c>
      <c r="H32" s="307">
        <f t="shared" ca="1" si="12"/>
        <v>20.115127890743182</v>
      </c>
      <c r="I32" s="304">
        <f t="shared" ca="1" si="13"/>
        <v>20.191955815200544</v>
      </c>
      <c r="J32" s="306">
        <f t="shared" ca="1" si="14"/>
        <v>0.22156823173329301</v>
      </c>
      <c r="K32" s="307">
        <f t="shared" ca="1" si="15"/>
        <v>2.5326802776299298</v>
      </c>
      <c r="L32" s="304">
        <f t="shared" ca="1" si="0"/>
        <v>2.5423536083733587</v>
      </c>
      <c r="M32" s="306">
        <f t="shared" ca="1" si="16"/>
        <v>1.4835298641951802</v>
      </c>
      <c r="N32" s="304">
        <f t="shared" ca="1" si="17"/>
        <v>85</v>
      </c>
      <c r="P32" s="310">
        <f t="shared" ca="1" si="18"/>
        <v>5</v>
      </c>
      <c r="Q32" s="304">
        <f t="shared" ca="1" si="19"/>
        <v>1041.5</v>
      </c>
      <c r="R32" s="306">
        <f t="shared" ca="1" si="20"/>
        <v>0.52172094970658833</v>
      </c>
      <c r="S32" s="307">
        <f t="shared" ca="1" si="21"/>
        <v>12.368074842212803</v>
      </c>
      <c r="T32" s="304">
        <f t="shared" ca="1" si="1"/>
        <v>121.3308142021076</v>
      </c>
      <c r="U32" s="311">
        <f t="shared" ca="1" si="2"/>
        <v>10.574677229962797</v>
      </c>
      <c r="V32" s="306">
        <f t="shared" ca="1" si="3"/>
        <v>1.2246897859496408</v>
      </c>
      <c r="W32" s="304">
        <f t="shared" ca="1" si="4"/>
        <v>2.0752525473031467</v>
      </c>
      <c r="Y32" s="314" t="str">
        <f t="shared" ca="1" si="22"/>
        <v/>
      </c>
      <c r="Z32" s="315" t="str">
        <f t="shared" ca="1" si="23"/>
        <v/>
      </c>
      <c r="AA32" s="316" t="str">
        <f t="shared" ca="1" si="24"/>
        <v/>
      </c>
      <c r="AC32" s="310" t="e">
        <f t="shared" ca="1" si="25"/>
        <v>#N/A</v>
      </c>
      <c r="AD32" s="323" t="e">
        <f t="shared" ca="1" si="26"/>
        <v>#N/A</v>
      </c>
      <c r="AE32" s="324">
        <f t="shared" ca="1" si="5"/>
        <v>2.5326802776299298</v>
      </c>
      <c r="AG32" s="306">
        <f t="shared" ca="1" si="27"/>
        <v>74.280394001993855</v>
      </c>
      <c r="AH32" s="304">
        <f t="shared" ca="1" si="28"/>
        <v>84.053063990273884</v>
      </c>
    </row>
    <row r="33" spans="1:34" x14ac:dyDescent="0.25">
      <c r="A33" s="347">
        <f t="shared" ca="1" si="6"/>
        <v>0.01</v>
      </c>
      <c r="B33" s="304">
        <f t="shared" ca="1" si="7"/>
        <v>0.29000000000000009</v>
      </c>
      <c r="D33" s="306">
        <f t="shared" ca="1" si="8"/>
        <v>6.4732878237681666</v>
      </c>
      <c r="E33" s="307">
        <f t="shared" ca="1" si="9"/>
        <v>73.994156957281831</v>
      </c>
      <c r="F33" s="304">
        <f t="shared" ca="1" si="10"/>
        <v>74.276771059788302</v>
      </c>
      <c r="G33" s="306">
        <f t="shared" ca="1" si="11"/>
        <v>1.8244799004135628</v>
      </c>
      <c r="H33" s="307">
        <f t="shared" ca="1" si="12"/>
        <v>20.855069460315999</v>
      </c>
      <c r="I33" s="304">
        <f t="shared" ca="1" si="13"/>
        <v>20.934723525798429</v>
      </c>
      <c r="J33" s="306">
        <f t="shared" ca="1" si="14"/>
        <v>0.23948936634624024</v>
      </c>
      <c r="K33" s="307">
        <f t="shared" ca="1" si="15"/>
        <v>2.7375312643852259</v>
      </c>
      <c r="L33" s="304">
        <f t="shared" ca="1" si="0"/>
        <v>2.7479870050783535</v>
      </c>
      <c r="M33" s="306">
        <f t="shared" ca="1" si="16"/>
        <v>1.4835298641951802</v>
      </c>
      <c r="N33" s="304">
        <f t="shared" ca="1" si="17"/>
        <v>85</v>
      </c>
      <c r="P33" s="310">
        <f t="shared" ca="1" si="18"/>
        <v>5</v>
      </c>
      <c r="Q33" s="304">
        <f t="shared" ca="1" si="19"/>
        <v>1041.1666666666667</v>
      </c>
      <c r="R33" s="306">
        <f t="shared" ca="1" si="20"/>
        <v>0.52155397228629496</v>
      </c>
      <c r="S33" s="307">
        <f t="shared" ca="1" si="21"/>
        <v>12.362859302489939</v>
      </c>
      <c r="T33" s="304">
        <f t="shared" ca="1" si="1"/>
        <v>121.27964975742631</v>
      </c>
      <c r="U33" s="311">
        <f t="shared" ca="1" si="2"/>
        <v>10.570217954784328</v>
      </c>
      <c r="V33" s="306">
        <f t="shared" ca="1" si="3"/>
        <v>1.2246646983150551</v>
      </c>
      <c r="W33" s="304">
        <f t="shared" ca="1" si="4"/>
        <v>2.2306926901237478</v>
      </c>
      <c r="Y33" s="314" t="str">
        <f t="shared" ca="1" si="22"/>
        <v/>
      </c>
      <c r="Z33" s="315" t="str">
        <f t="shared" ca="1" si="23"/>
        <v/>
      </c>
      <c r="AA33" s="316" t="str">
        <f t="shared" ca="1" si="24"/>
        <v/>
      </c>
      <c r="AC33" s="310" t="e">
        <f t="shared" ca="1" si="25"/>
        <v>#N/A</v>
      </c>
      <c r="AD33" s="323" t="e">
        <f t="shared" ca="1" si="26"/>
        <v>#N/A</v>
      </c>
      <c r="AE33" s="324">
        <f t="shared" ca="1" si="5"/>
        <v>2.7375312643852259</v>
      </c>
      <c r="AG33" s="306">
        <f t="shared" ca="1" si="27"/>
        <v>74.276771058912487</v>
      </c>
      <c r="AH33" s="304">
        <f t="shared" ca="1" si="28"/>
        <v>84.049441047192516</v>
      </c>
    </row>
    <row r="34" spans="1:34" x14ac:dyDescent="0.25">
      <c r="A34" s="347">
        <f t="shared" ca="1" si="6"/>
        <v>0.01</v>
      </c>
      <c r="B34" s="304">
        <f t="shared" ca="1" si="7"/>
        <v>0.3000000000000001</v>
      </c>
      <c r="D34" s="306">
        <f t="shared" ca="1" si="8"/>
        <v>6.472931264888877</v>
      </c>
      <c r="E34" s="307">
        <f t="shared" ca="1" si="9"/>
        <v>73.990081891226936</v>
      </c>
      <c r="F34" s="304">
        <f t="shared" ca="1" si="10"/>
        <v>74.272680424436302</v>
      </c>
      <c r="G34" s="306">
        <f t="shared" ca="1" si="11"/>
        <v>1.8892092130624516</v>
      </c>
      <c r="H34" s="307">
        <f t="shared" ca="1" si="12"/>
        <v>21.594970279228267</v>
      </c>
      <c r="I34" s="304">
        <f t="shared" ca="1" si="13"/>
        <v>21.677450330042792</v>
      </c>
      <c r="J34" s="306">
        <f t="shared" ca="1" si="14"/>
        <v>0.25805781191362032</v>
      </c>
      <c r="K34" s="307">
        <f t="shared" ca="1" si="15"/>
        <v>2.9497814630829473</v>
      </c>
      <c r="L34" s="304">
        <f t="shared" ca="1" si="0"/>
        <v>2.9610478743575586</v>
      </c>
      <c r="M34" s="306">
        <f t="shared" ca="1" si="16"/>
        <v>1.4835298641951802</v>
      </c>
      <c r="N34" s="304">
        <f t="shared" ca="1" si="17"/>
        <v>85</v>
      </c>
      <c r="P34" s="310">
        <f t="shared" ca="1" si="18"/>
        <v>5</v>
      </c>
      <c r="Q34" s="304">
        <f t="shared" ca="1" si="19"/>
        <v>1040.8333333333333</v>
      </c>
      <c r="R34" s="306">
        <f t="shared" ca="1" si="20"/>
        <v>0.5213869948660016</v>
      </c>
      <c r="S34" s="307">
        <f t="shared" ca="1" si="21"/>
        <v>12.357645432541279</v>
      </c>
      <c r="T34" s="304">
        <f t="shared" ca="1" si="1"/>
        <v>121.22850169322996</v>
      </c>
      <c r="U34" s="311">
        <f t="shared" ca="1" si="2"/>
        <v>10.565760107259189</v>
      </c>
      <c r="V34" s="306">
        <f t="shared" ca="1" si="3"/>
        <v>1.2246387050578289</v>
      </c>
      <c r="W34" s="304">
        <f t="shared" ca="1" si="4"/>
        <v>2.3917317361482531</v>
      </c>
      <c r="Y34" s="314" t="str">
        <f t="shared" ca="1" si="22"/>
        <v/>
      </c>
      <c r="Z34" s="315" t="str">
        <f t="shared" ca="1" si="23"/>
        <v/>
      </c>
      <c r="AA34" s="316" t="str">
        <f t="shared" ca="1" si="24"/>
        <v/>
      </c>
      <c r="AC34" s="310" t="e">
        <f t="shared" ca="1" si="25"/>
        <v>#N/A</v>
      </c>
      <c r="AD34" s="323" t="e">
        <f t="shared" ca="1" si="26"/>
        <v>#N/A</v>
      </c>
      <c r="AE34" s="324">
        <f t="shared" ca="1" si="5"/>
        <v>2.9497814630829473</v>
      </c>
      <c r="AG34" s="306">
        <f t="shared" ca="1" si="27"/>
        <v>74.27268042356026</v>
      </c>
      <c r="AH34" s="304">
        <f t="shared" ca="1" si="28"/>
        <v>84.045350411840289</v>
      </c>
    </row>
    <row r="35" spans="1:34" x14ac:dyDescent="0.25">
      <c r="A35" s="347">
        <f t="shared" ca="1" si="6"/>
        <v>0.01</v>
      </c>
      <c r="B35" s="304">
        <f t="shared" ca="1" si="7"/>
        <v>0.31000000000000011</v>
      </c>
      <c r="D35" s="306">
        <f t="shared" ca="1" si="8"/>
        <v>6.4725339104335253</v>
      </c>
      <c r="E35" s="307">
        <f t="shared" ca="1" si="9"/>
        <v>73.985540529399401</v>
      </c>
      <c r="F35" s="304">
        <f t="shared" ca="1" si="10"/>
        <v>74.268121712139134</v>
      </c>
      <c r="G35" s="306">
        <f t="shared" ca="1" si="11"/>
        <v>1.9539345521667868</v>
      </c>
      <c r="H35" s="307">
        <f t="shared" ca="1" si="12"/>
        <v>22.334825684522261</v>
      </c>
      <c r="I35" s="304">
        <f t="shared" ca="1" si="13"/>
        <v>22.420131547164182</v>
      </c>
      <c r="J35" s="306">
        <f t="shared" ca="1" si="14"/>
        <v>0.27727353073976652</v>
      </c>
      <c r="K35" s="307">
        <f t="shared" ca="1" si="15"/>
        <v>3.1694304429017</v>
      </c>
      <c r="L35" s="304">
        <f t="shared" ca="1" si="0"/>
        <v>3.1815357837435934</v>
      </c>
      <c r="M35" s="306">
        <f t="shared" ca="1" si="16"/>
        <v>1.4835298641951802</v>
      </c>
      <c r="N35" s="304">
        <f t="shared" ca="1" si="17"/>
        <v>85</v>
      </c>
      <c r="P35" s="310">
        <f t="shared" ca="1" si="18"/>
        <v>5</v>
      </c>
      <c r="Q35" s="304">
        <f t="shared" ca="1" si="19"/>
        <v>1040.5</v>
      </c>
      <c r="R35" s="306">
        <f t="shared" ca="1" si="20"/>
        <v>0.52122001744570823</v>
      </c>
      <c r="S35" s="307">
        <f t="shared" ca="1" si="21"/>
        <v>12.352433232366822</v>
      </c>
      <c r="T35" s="304">
        <f t="shared" ca="1" si="1"/>
        <v>121.17737000951853</v>
      </c>
      <c r="U35" s="311">
        <f t="shared" ca="1" si="2"/>
        <v>10.561303687387381</v>
      </c>
      <c r="V35" s="306">
        <f t="shared" ca="1" si="3"/>
        <v>1.2246118062883933</v>
      </c>
      <c r="W35" s="304">
        <f t="shared" ca="1" si="4"/>
        <v>2.5583669751493003</v>
      </c>
      <c r="Y35" s="314" t="str">
        <f t="shared" ca="1" si="22"/>
        <v/>
      </c>
      <c r="Z35" s="315" t="str">
        <f t="shared" ca="1" si="23"/>
        <v/>
      </c>
      <c r="AA35" s="316" t="str">
        <f t="shared" ca="1" si="24"/>
        <v/>
      </c>
      <c r="AC35" s="310" t="e">
        <f t="shared" ca="1" si="25"/>
        <v>#N/A</v>
      </c>
      <c r="AD35" s="323" t="e">
        <f t="shared" ca="1" si="26"/>
        <v>#N/A</v>
      </c>
      <c r="AE35" s="324">
        <f t="shared" ca="1" si="5"/>
        <v>3.1694304429017</v>
      </c>
      <c r="AG35" s="306">
        <f t="shared" ca="1" si="27"/>
        <v>74.268121711262879</v>
      </c>
      <c r="AH35" s="304">
        <f t="shared" ca="1" si="28"/>
        <v>84.040791699542908</v>
      </c>
    </row>
    <row r="36" spans="1:34" x14ac:dyDescent="0.25">
      <c r="A36" s="347">
        <f t="shared" ca="1" si="6"/>
        <v>0.01</v>
      </c>
      <c r="B36" s="304">
        <f t="shared" ca="1" si="7"/>
        <v>0.32000000000000012</v>
      </c>
      <c r="D36" s="306">
        <f t="shared" ca="1" si="8"/>
        <v>6.4720957280303155</v>
      </c>
      <c r="E36" s="307">
        <f t="shared" ca="1" si="9"/>
        <v>73.980532501787522</v>
      </c>
      <c r="F36" s="304">
        <f t="shared" ca="1" si="10"/>
        <v>74.263094551471724</v>
      </c>
      <c r="G36" s="306">
        <f t="shared" ca="1" si="11"/>
        <v>2.0186555094470902</v>
      </c>
      <c r="H36" s="307">
        <f t="shared" ca="1" si="12"/>
        <v>23.074631009540138</v>
      </c>
      <c r="I36" s="304">
        <f t="shared" ca="1" si="13"/>
        <v>23.162762492678898</v>
      </c>
      <c r="J36" s="306">
        <f t="shared" ca="1" si="14"/>
        <v>0.29713648104783591</v>
      </c>
      <c r="K36" s="307">
        <f t="shared" ca="1" si="15"/>
        <v>3.3964777263720118</v>
      </c>
      <c r="L36" s="304">
        <f t="shared" ca="1" si="0"/>
        <v>3.4094502539428087</v>
      </c>
      <c r="M36" s="306">
        <f t="shared" ca="1" si="16"/>
        <v>1.4835298641951802</v>
      </c>
      <c r="N36" s="304">
        <f t="shared" ca="1" si="17"/>
        <v>85</v>
      </c>
      <c r="P36" s="310">
        <f t="shared" ca="1" si="18"/>
        <v>5</v>
      </c>
      <c r="Q36" s="304">
        <f t="shared" ca="1" si="19"/>
        <v>1040.1666666666667</v>
      </c>
      <c r="R36" s="306">
        <f t="shared" ca="1" si="20"/>
        <v>0.52105304002541497</v>
      </c>
      <c r="S36" s="307">
        <f t="shared" ca="1" si="21"/>
        <v>12.347222701966569</v>
      </c>
      <c r="T36" s="304">
        <f t="shared" ca="1" si="1"/>
        <v>121.12625470629204</v>
      </c>
      <c r="U36" s="311">
        <f t="shared" ca="1" si="2"/>
        <v>10.556848695168906</v>
      </c>
      <c r="V36" s="306">
        <f t="shared" ca="1" si="3"/>
        <v>1.2245840021248955</v>
      </c>
      <c r="W36" s="304">
        <f t="shared" ca="1" si="4"/>
        <v>2.7305955299229523</v>
      </c>
      <c r="Y36" s="314" t="str">
        <f t="shared" ca="1" si="22"/>
        <v/>
      </c>
      <c r="Z36" s="315" t="str">
        <f t="shared" ca="1" si="23"/>
        <v/>
      </c>
      <c r="AA36" s="316" t="str">
        <f t="shared" ca="1" si="24"/>
        <v/>
      </c>
      <c r="AC36" s="310" t="e">
        <f t="shared" ca="1" si="25"/>
        <v>#N/A</v>
      </c>
      <c r="AD36" s="323" t="e">
        <f t="shared" ca="1" si="26"/>
        <v>#N/A</v>
      </c>
      <c r="AE36" s="324">
        <f t="shared" ca="1" si="5"/>
        <v>3.3964777263720118</v>
      </c>
      <c r="AG36" s="306">
        <f t="shared" ca="1" si="27"/>
        <v>74.263094550595213</v>
      </c>
      <c r="AH36" s="304">
        <f t="shared" ca="1" si="28"/>
        <v>84.035764538875242</v>
      </c>
    </row>
    <row r="37" spans="1:34" x14ac:dyDescent="0.25">
      <c r="A37" s="347">
        <f t="shared" ca="1" si="6"/>
        <v>0.01</v>
      </c>
      <c r="B37" s="304">
        <f t="shared" ca="1" si="7"/>
        <v>0.33000000000000013</v>
      </c>
      <c r="D37" s="306">
        <f t="shared" ca="1" si="8"/>
        <v>6.4716166864650537</v>
      </c>
      <c r="E37" s="307">
        <f t="shared" ca="1" si="9"/>
        <v>73.975057451610965</v>
      </c>
      <c r="F37" s="304">
        <f t="shared" ca="1" si="10"/>
        <v>74.257598584290861</v>
      </c>
      <c r="G37" s="306">
        <f t="shared" ca="1" si="11"/>
        <v>2.0833716763117405</v>
      </c>
      <c r="H37" s="307">
        <f t="shared" ca="1" si="12"/>
        <v>23.814381584056246</v>
      </c>
      <c r="I37" s="304">
        <f t="shared" ca="1" si="13"/>
        <v>23.905338478521806</v>
      </c>
      <c r="J37" s="306">
        <f t="shared" ca="1" si="14"/>
        <v>0.31764661697663005</v>
      </c>
      <c r="K37" s="307">
        <f t="shared" ca="1" si="15"/>
        <v>3.6309227893399938</v>
      </c>
      <c r="L37" s="304">
        <f t="shared" ca="1" si="0"/>
        <v>3.6447907587988122</v>
      </c>
      <c r="M37" s="306">
        <f t="shared" ca="1" si="16"/>
        <v>1.4835298641951802</v>
      </c>
      <c r="N37" s="304">
        <f t="shared" ca="1" si="17"/>
        <v>85</v>
      </c>
      <c r="P37" s="310">
        <f t="shared" ca="1" si="18"/>
        <v>5</v>
      </c>
      <c r="Q37" s="304">
        <f t="shared" ca="1" si="19"/>
        <v>1039.8333333333333</v>
      </c>
      <c r="R37" s="306">
        <f t="shared" ca="1" si="20"/>
        <v>0.52088606260512149</v>
      </c>
      <c r="S37" s="307">
        <f t="shared" ca="1" si="21"/>
        <v>12.342013841340517</v>
      </c>
      <c r="T37" s="304">
        <f t="shared" ca="1" si="1"/>
        <v>121.07515578355047</v>
      </c>
      <c r="U37" s="311">
        <f t="shared" ca="1" si="2"/>
        <v>10.552395130603758</v>
      </c>
      <c r="V37" s="306">
        <f t="shared" ca="1" si="3"/>
        <v>1.2245552926932006</v>
      </c>
      <c r="W37" s="304">
        <f t="shared" ca="1" si="4"/>
        <v>2.9084143562455842</v>
      </c>
      <c r="Y37" s="314" t="str">
        <f t="shared" ca="1" si="22"/>
        <v/>
      </c>
      <c r="Z37" s="315" t="str">
        <f t="shared" ca="1" si="23"/>
        <v/>
      </c>
      <c r="AA37" s="316" t="str">
        <f t="shared" ca="1" si="24"/>
        <v/>
      </c>
      <c r="AC37" s="310" t="e">
        <f t="shared" ca="1" si="25"/>
        <v>#N/A</v>
      </c>
      <c r="AD37" s="323" t="e">
        <f t="shared" ca="1" si="26"/>
        <v>#N/A</v>
      </c>
      <c r="AE37" s="324">
        <f t="shared" ca="1" si="5"/>
        <v>3.6309227893399938</v>
      </c>
      <c r="AG37" s="306">
        <f t="shared" ca="1" si="27"/>
        <v>74.257598583414122</v>
      </c>
      <c r="AH37" s="304">
        <f t="shared" ca="1" si="28"/>
        <v>84.030268571694151</v>
      </c>
    </row>
    <row r="38" spans="1:34" x14ac:dyDescent="0.25">
      <c r="A38" s="347">
        <f t="shared" ca="1" si="6"/>
        <v>0.01</v>
      </c>
      <c r="B38" s="304">
        <f t="shared" ca="1" si="7"/>
        <v>0.34000000000000014</v>
      </c>
      <c r="D38" s="306">
        <f t="shared" ca="1" si="8"/>
        <v>6.4710967556839556</v>
      </c>
      <c r="E38" s="307">
        <f t="shared" ca="1" si="9"/>
        <v>73.969115035352999</v>
      </c>
      <c r="F38" s="304">
        <f t="shared" ca="1" si="10"/>
        <v>74.251633465767668</v>
      </c>
      <c r="G38" s="306">
        <f t="shared" ca="1" si="11"/>
        <v>2.1480826438685798</v>
      </c>
      <c r="H38" s="307">
        <f t="shared" ca="1" si="12"/>
        <v>24.554072734409775</v>
      </c>
      <c r="I38" s="304">
        <f t="shared" ca="1" si="13"/>
        <v>24.647854813179482</v>
      </c>
      <c r="J38" s="306">
        <f t="shared" ca="1" si="14"/>
        <v>0.33880388857753163</v>
      </c>
      <c r="K38" s="307">
        <f t="shared" ca="1" si="15"/>
        <v>3.8727650609323239</v>
      </c>
      <c r="L38" s="304">
        <f t="shared" ca="1" si="0"/>
        <v>3.8875567252573182</v>
      </c>
      <c r="M38" s="306">
        <f t="shared" ca="1" si="16"/>
        <v>1.4835298641951802</v>
      </c>
      <c r="N38" s="304">
        <f t="shared" ca="1" si="17"/>
        <v>85</v>
      </c>
      <c r="P38" s="310">
        <f t="shared" ca="1" si="18"/>
        <v>5</v>
      </c>
      <c r="Q38" s="304">
        <f t="shared" ca="1" si="19"/>
        <v>1039.5</v>
      </c>
      <c r="R38" s="306">
        <f t="shared" ca="1" si="20"/>
        <v>0.52071908518482812</v>
      </c>
      <c r="S38" s="307">
        <f t="shared" ca="1" si="21"/>
        <v>12.336806650488668</v>
      </c>
      <c r="T38" s="304">
        <f t="shared" ca="1" si="1"/>
        <v>121.02407324129385</v>
      </c>
      <c r="U38" s="311">
        <f t="shared" ca="1" si="2"/>
        <v>10.547942993691944</v>
      </c>
      <c r="V38" s="306">
        <f t="shared" ca="1" si="3"/>
        <v>1.2245256781268947</v>
      </c>
      <c r="W38" s="304">
        <f t="shared" ca="1" si="4"/>
        <v>3.0918202428412629</v>
      </c>
      <c r="Y38" s="314" t="str">
        <f t="shared" ca="1" si="22"/>
        <v>Sortie de rampe</v>
      </c>
      <c r="Z38" s="315" t="str">
        <f t="shared" ca="1" si="23"/>
        <v/>
      </c>
      <c r="AA38" s="316" t="str">
        <f t="shared" ca="1" si="24"/>
        <v/>
      </c>
      <c r="AC38" s="310" t="e">
        <f t="shared" ca="1" si="25"/>
        <v>#N/A</v>
      </c>
      <c r="AD38" s="323" t="e">
        <f t="shared" ca="1" si="26"/>
        <v>#N/A</v>
      </c>
      <c r="AE38" s="324">
        <f t="shared" ca="1" si="5"/>
        <v>3.8727650609323239</v>
      </c>
      <c r="AG38" s="306">
        <f t="shared" ca="1" si="27"/>
        <v>74.251633464890674</v>
      </c>
      <c r="AH38" s="304">
        <f t="shared" ca="1" si="28"/>
        <v>84.024303453170702</v>
      </c>
    </row>
    <row r="39" spans="1:34" x14ac:dyDescent="0.25">
      <c r="A39" s="347">
        <f t="shared" ca="1" si="6"/>
        <v>0.01</v>
      </c>
      <c r="B39" s="304">
        <f t="shared" ca="1" si="7"/>
        <v>0.35000000000000014</v>
      </c>
      <c r="D39" s="306">
        <f t="shared" ca="1" si="8"/>
        <v>6.4705359067963508</v>
      </c>
      <c r="E39" s="307">
        <f t="shared" ca="1" si="9"/>
        <v>73.962704922791289</v>
      </c>
      <c r="F39" s="304">
        <f t="shared" ca="1" si="10"/>
        <v>74.245198864418398</v>
      </c>
      <c r="G39" s="306">
        <f t="shared" ca="1" si="11"/>
        <v>2.2127880029365432</v>
      </c>
      <c r="H39" s="307">
        <f t="shared" ca="1" si="12"/>
        <v>25.293699783637688</v>
      </c>
      <c r="I39" s="304">
        <f t="shared" ca="1" si="13"/>
        <v>25.390306801823666</v>
      </c>
      <c r="J39" s="306">
        <f t="shared" ca="1" si="14"/>
        <v>0.36060824181155726</v>
      </c>
      <c r="K39" s="307">
        <f t="shared" ca="1" si="15"/>
        <v>4.122003923522561</v>
      </c>
      <c r="L39" s="304">
        <f t="shared" ca="1" si="0"/>
        <v>4.137747533332333</v>
      </c>
      <c r="M39" s="306">
        <f t="shared" ca="1" si="16"/>
        <v>1.4835298641951802</v>
      </c>
      <c r="N39" s="304">
        <f t="shared" ca="1" si="17"/>
        <v>85</v>
      </c>
      <c r="P39" s="310">
        <f t="shared" ca="1" si="18"/>
        <v>5</v>
      </c>
      <c r="Q39" s="304">
        <f t="shared" ca="1" si="19"/>
        <v>1039.1666666666667</v>
      </c>
      <c r="R39" s="306">
        <f t="shared" ca="1" si="20"/>
        <v>0.52055210776453487</v>
      </c>
      <c r="S39" s="307">
        <f t="shared" ca="1" si="21"/>
        <v>12.331601129411023</v>
      </c>
      <c r="T39" s="304">
        <f t="shared" ca="1" si="1"/>
        <v>120.97300707952215</v>
      </c>
      <c r="U39" s="311">
        <f t="shared" ca="1" si="2"/>
        <v>0</v>
      </c>
      <c r="V39" s="306">
        <f t="shared" ca="1" si="3"/>
        <v>1.2244951585672867</v>
      </c>
      <c r="W39" s="304">
        <f t="shared" ca="1" si="4"/>
        <v>3.2808098113596276</v>
      </c>
      <c r="Y39" s="314" t="str">
        <f t="shared" ca="1" si="22"/>
        <v/>
      </c>
      <c r="Z39" s="315" t="str">
        <f t="shared" ca="1" si="23"/>
        <v/>
      </c>
      <c r="AA39" s="316" t="str">
        <f t="shared" ca="1" si="24"/>
        <v/>
      </c>
      <c r="AC39" s="310" t="e">
        <f t="shared" ca="1" si="25"/>
        <v>#N/A</v>
      </c>
      <c r="AD39" s="323" t="e">
        <f t="shared" ca="1" si="26"/>
        <v>#N/A</v>
      </c>
      <c r="AE39" s="324">
        <f t="shared" ca="1" si="5"/>
        <v>4.122003923522561</v>
      </c>
      <c r="AG39" s="306">
        <f t="shared" ca="1" si="27"/>
        <v>74.245198863541162</v>
      </c>
      <c r="AH39" s="304">
        <f t="shared" ca="1" si="28"/>
        <v>84.017868851821191</v>
      </c>
    </row>
    <row r="40" spans="1:34" x14ac:dyDescent="0.25">
      <c r="A40" s="347">
        <f t="shared" ca="1" si="6"/>
        <v>0.01</v>
      </c>
      <c r="B40" s="304">
        <f t="shared" ca="1" si="7"/>
        <v>0.36000000000000015</v>
      </c>
      <c r="D40" s="306">
        <f t="shared" ca="1" si="8"/>
        <v>7.3220380055465561</v>
      </c>
      <c r="E40" s="307">
        <f t="shared" ca="1" si="9"/>
        <v>73.88127736620352</v>
      </c>
      <c r="F40" s="304">
        <f t="shared" ca="1" si="10"/>
        <v>74.243217776552257</v>
      </c>
      <c r="G40" s="306">
        <f t="shared" ca="1" si="11"/>
        <v>2.2860083829920086</v>
      </c>
      <c r="H40" s="307">
        <f t="shared" ca="1" si="12"/>
        <v>26.032512557299725</v>
      </c>
      <c r="I40" s="304">
        <f t="shared" ca="1" si="13"/>
        <v>26.132691104688732</v>
      </c>
      <c r="J40" s="306">
        <f t="shared" ca="1" si="14"/>
        <v>0.38310222374120001</v>
      </c>
      <c r="K40" s="307">
        <f t="shared" ca="1" si="15"/>
        <v>4.3786349852272481</v>
      </c>
      <c r="L40" s="304">
        <f t="shared" ca="1" si="0"/>
        <v>4.3953625160720788</v>
      </c>
      <c r="M40" s="306">
        <f t="shared" ca="1" si="16"/>
        <v>1.4832074150634396</v>
      </c>
      <c r="N40" s="304">
        <f t="shared" ca="1" si="17"/>
        <v>84.981525025643606</v>
      </c>
      <c r="P40" s="310">
        <f t="shared" ca="1" si="18"/>
        <v>5</v>
      </c>
      <c r="Q40" s="304">
        <f t="shared" ca="1" si="19"/>
        <v>1038.8333333333333</v>
      </c>
      <c r="R40" s="306">
        <f t="shared" ca="1" si="20"/>
        <v>0.52038513034424139</v>
      </c>
      <c r="S40" s="307">
        <f t="shared" ca="1" si="21"/>
        <v>12.326397278107581</v>
      </c>
      <c r="T40" s="304">
        <f t="shared" ca="1" si="1"/>
        <v>120.92195729823538</v>
      </c>
      <c r="U40" s="311">
        <f t="shared" ca="1" si="2"/>
        <v>0</v>
      </c>
      <c r="V40" s="306">
        <f t="shared" ca="1" si="3"/>
        <v>1.2244637346198275</v>
      </c>
      <c r="W40" s="304">
        <f t="shared" ca="1" si="4"/>
        <v>3.475379878924691</v>
      </c>
      <c r="Y40" s="314" t="str">
        <f t="shared" ca="1" si="22"/>
        <v/>
      </c>
      <c r="Z40" s="315" t="str">
        <f t="shared" ca="1" si="23"/>
        <v/>
      </c>
      <c r="AA40" s="316" t="str">
        <f t="shared" ca="1" si="24"/>
        <v/>
      </c>
      <c r="AC40" s="310" t="e">
        <f t="shared" ca="1" si="25"/>
        <v>#N/A</v>
      </c>
      <c r="AD40" s="323" t="e">
        <f t="shared" ca="1" si="26"/>
        <v>#N/A</v>
      </c>
      <c r="AE40" s="324">
        <f t="shared" ca="1" si="5"/>
        <v>4.3786349852272481</v>
      </c>
      <c r="AG40" s="306">
        <f t="shared" ca="1" si="27"/>
        <v>74.23829446125761</v>
      </c>
      <c r="AH40" s="304">
        <f t="shared" ca="1" si="28"/>
        <v>84.010964449537639</v>
      </c>
    </row>
    <row r="41" spans="1:34" x14ac:dyDescent="0.25">
      <c r="A41" s="347">
        <f t="shared" ca="1" si="6"/>
        <v>0.01</v>
      </c>
      <c r="B41" s="304">
        <f t="shared" ca="1" si="7"/>
        <v>0.37000000000000016</v>
      </c>
      <c r="D41" s="306">
        <f t="shared" ca="1" si="8"/>
        <v>7.3483787020403337</v>
      </c>
      <c r="E41" s="307">
        <f t="shared" ca="1" si="9"/>
        <v>73.871565763237783</v>
      </c>
      <c r="F41" s="304">
        <f t="shared" ca="1" si="10"/>
        <v>74.236156270788726</v>
      </c>
      <c r="G41" s="306">
        <f t="shared" ca="1" si="11"/>
        <v>2.3594921700124121</v>
      </c>
      <c r="H41" s="307">
        <f t="shared" ca="1" si="12"/>
        <v>26.771228214932101</v>
      </c>
      <c r="I41" s="304">
        <f t="shared" ca="1" si="13"/>
        <v>26.875004436024312</v>
      </c>
      <c r="J41" s="306">
        <f t="shared" ca="1" si="14"/>
        <v>0.40632972650622212</v>
      </c>
      <c r="K41" s="307">
        <f t="shared" ca="1" si="15"/>
        <v>4.6426536890884069</v>
      </c>
      <c r="L41" s="304">
        <f t="shared" ca="1" si="0"/>
        <v>4.6604009616607902</v>
      </c>
      <c r="M41" s="306">
        <f t="shared" ca="1" si="16"/>
        <v>1.4828881038620483</v>
      </c>
      <c r="N41" s="304">
        <f t="shared" ca="1" si="17"/>
        <v>84.963229841452645</v>
      </c>
      <c r="P41" s="310">
        <f t="shared" ca="1" si="18"/>
        <v>5</v>
      </c>
      <c r="Q41" s="304">
        <f t="shared" ca="1" si="19"/>
        <v>1038.5</v>
      </c>
      <c r="R41" s="306">
        <f t="shared" ca="1" si="20"/>
        <v>0.52021815292394813</v>
      </c>
      <c r="S41" s="307">
        <f t="shared" ca="1" si="21"/>
        <v>12.321195096578341</v>
      </c>
      <c r="T41" s="304">
        <f t="shared" ca="1" si="1"/>
        <v>120.87092389743353</v>
      </c>
      <c r="U41" s="311">
        <f t="shared" ca="1" si="2"/>
        <v>0</v>
      </c>
      <c r="V41" s="306">
        <f t="shared" ca="1" si="3"/>
        <v>1.2244314069121267</v>
      </c>
      <c r="W41" s="304">
        <f t="shared" ca="1" si="4"/>
        <v>3.6755271525317283</v>
      </c>
      <c r="Y41" s="314" t="str">
        <f t="shared" ca="1" si="22"/>
        <v/>
      </c>
      <c r="Z41" s="315" t="str">
        <f t="shared" ca="1" si="23"/>
        <v/>
      </c>
      <c r="AA41" s="316" t="str">
        <f t="shared" ca="1" si="24"/>
        <v/>
      </c>
      <c r="AC41" s="310" t="e">
        <f t="shared" ca="1" si="25"/>
        <v>#N/A</v>
      </c>
      <c r="AD41" s="323" t="e">
        <f t="shared" ca="1" si="26"/>
        <v>#N/A</v>
      </c>
      <c r="AE41" s="324">
        <f t="shared" ca="1" si="5"/>
        <v>4.6426536890884069</v>
      </c>
      <c r="AG41" s="306">
        <f t="shared" ca="1" si="27"/>
        <v>74.231196125266024</v>
      </c>
      <c r="AH41" s="304">
        <f t="shared" ca="1" si="28"/>
        <v>84.003589912191785</v>
      </c>
    </row>
    <row r="42" spans="1:34" x14ac:dyDescent="0.25">
      <c r="A42" s="347">
        <f t="shared" ca="1" si="6"/>
        <v>0.01</v>
      </c>
      <c r="B42" s="304">
        <f t="shared" ca="1" si="7"/>
        <v>0.38000000000000017</v>
      </c>
      <c r="D42" s="306">
        <f t="shared" ca="1" si="8"/>
        <v>7.3744100363482721</v>
      </c>
      <c r="E42" s="307">
        <f t="shared" ca="1" si="9"/>
        <v>73.861400372787372</v>
      </c>
      <c r="F42" s="304">
        <f t="shared" ca="1" si="10"/>
        <v>74.228622433757906</v>
      </c>
      <c r="G42" s="306">
        <f t="shared" ca="1" si="11"/>
        <v>2.433236270375895</v>
      </c>
      <c r="H42" s="307">
        <f t="shared" ca="1" si="12"/>
        <v>27.509842218659976</v>
      </c>
      <c r="I42" s="304">
        <f t="shared" ca="1" si="13"/>
        <v>27.61724203542127</v>
      </c>
      <c r="J42" s="306">
        <f t="shared" ca="1" si="14"/>
        <v>0.43029336870816365</v>
      </c>
      <c r="K42" s="307">
        <f t="shared" ca="1" si="15"/>
        <v>4.9140590412563672</v>
      </c>
      <c r="L42" s="304">
        <f t="shared" ca="1" si="0"/>
        <v>4.932862114848505</v>
      </c>
      <c r="M42" s="306">
        <f t="shared" ca="1" si="16"/>
        <v>1.4825762445588422</v>
      </c>
      <c r="N42" s="304">
        <f t="shared" ca="1" si="17"/>
        <v>84.945361619577042</v>
      </c>
      <c r="P42" s="310">
        <f t="shared" ca="1" si="18"/>
        <v>5</v>
      </c>
      <c r="Q42" s="304">
        <f t="shared" ca="1" si="19"/>
        <v>1038.1666666666667</v>
      </c>
      <c r="R42" s="306">
        <f t="shared" ca="1" si="20"/>
        <v>0.52005117550365476</v>
      </c>
      <c r="S42" s="307">
        <f t="shared" ca="1" si="21"/>
        <v>12.315994584823304</v>
      </c>
      <c r="T42" s="304">
        <f t="shared" ca="1" si="1"/>
        <v>120.81990687711662</v>
      </c>
      <c r="U42" s="311">
        <f t="shared" ca="1" si="2"/>
        <v>0</v>
      </c>
      <c r="V42" s="306">
        <f t="shared" ca="1" si="3"/>
        <v>1.2243981756374687</v>
      </c>
      <c r="W42" s="304">
        <f t="shared" ca="1" si="4"/>
        <v>3.8812478000683819</v>
      </c>
      <c r="Y42" s="314" t="str">
        <f t="shared" ca="1" si="22"/>
        <v/>
      </c>
      <c r="Z42" s="315" t="str">
        <f t="shared" ca="1" si="23"/>
        <v/>
      </c>
      <c r="AA42" s="316" t="str">
        <f t="shared" ca="1" si="24"/>
        <v/>
      </c>
      <c r="AC42" s="310" t="e">
        <f t="shared" ca="1" si="25"/>
        <v>#N/A</v>
      </c>
      <c r="AD42" s="323" t="e">
        <f t="shared" ca="1" si="26"/>
        <v>#N/A</v>
      </c>
      <c r="AE42" s="324">
        <f t="shared" ca="1" si="5"/>
        <v>4.9140590412563672</v>
      </c>
      <c r="AG42" s="306">
        <f t="shared" ca="1" si="27"/>
        <v>74.223625642261524</v>
      </c>
      <c r="AH42" s="304">
        <f t="shared" ca="1" si="28"/>
        <v>83.995744914415027</v>
      </c>
    </row>
    <row r="43" spans="1:34" x14ac:dyDescent="0.25">
      <c r="A43" s="347">
        <f t="shared" ca="1" si="6"/>
        <v>0.01</v>
      </c>
      <c r="B43" s="304">
        <f t="shared" ca="1" si="7"/>
        <v>0.39000000000000018</v>
      </c>
      <c r="D43" s="306">
        <f t="shared" ca="1" si="8"/>
        <v>7.3997707179022889</v>
      </c>
      <c r="E43" s="307">
        <f t="shared" ca="1" si="9"/>
        <v>73.850813124532465</v>
      </c>
      <c r="F43" s="304">
        <f t="shared" ca="1" si="10"/>
        <v>74.220611731729491</v>
      </c>
      <c r="G43" s="306">
        <f t="shared" ca="1" si="11"/>
        <v>2.5072339775549177</v>
      </c>
      <c r="H43" s="307">
        <f t="shared" ca="1" si="12"/>
        <v>28.248350349905301</v>
      </c>
      <c r="I43" s="304">
        <f t="shared" ca="1" si="13"/>
        <v>28.359399142245607</v>
      </c>
      <c r="J43" s="306">
        <f t="shared" ca="1" si="14"/>
        <v>0.45499571994781773</v>
      </c>
      <c r="K43" s="307">
        <f t="shared" ca="1" si="15"/>
        <v>5.1928500040991938</v>
      </c>
      <c r="L43" s="304">
        <f t="shared" ca="1" si="0"/>
        <v>5.2127451760318984</v>
      </c>
      <c r="M43" s="306">
        <f t="shared" ca="1" si="16"/>
        <v>1.4822714719276506</v>
      </c>
      <c r="N43" s="304">
        <f t="shared" ca="1" si="17"/>
        <v>84.927899434098663</v>
      </c>
      <c r="P43" s="310">
        <f t="shared" ca="1" si="18"/>
        <v>5</v>
      </c>
      <c r="Q43" s="304">
        <f t="shared" ca="1" si="19"/>
        <v>1037.8333333333333</v>
      </c>
      <c r="R43" s="306">
        <f t="shared" ca="1" si="20"/>
        <v>0.51988419808336139</v>
      </c>
      <c r="S43" s="307">
        <f t="shared" ca="1" si="21"/>
        <v>12.310795742842471</v>
      </c>
      <c r="T43" s="304">
        <f t="shared" ca="1" si="1"/>
        <v>120.76890623728464</v>
      </c>
      <c r="U43" s="311">
        <f t="shared" ca="1" si="2"/>
        <v>0</v>
      </c>
      <c r="V43" s="306">
        <f t="shared" ca="1" si="3"/>
        <v>1.2243640409964835</v>
      </c>
      <c r="W43" s="304">
        <f t="shared" ca="1" si="4"/>
        <v>4.0925378214176309</v>
      </c>
      <c r="Y43" s="314" t="str">
        <f t="shared" ca="1" si="22"/>
        <v/>
      </c>
      <c r="Z43" s="315" t="str">
        <f t="shared" ca="1" si="23"/>
        <v/>
      </c>
      <c r="AA43" s="316" t="str">
        <f t="shared" ca="1" si="24"/>
        <v/>
      </c>
      <c r="AC43" s="310" t="e">
        <f t="shared" ca="1" si="25"/>
        <v>#N/A</v>
      </c>
      <c r="AD43" s="323" t="e">
        <f t="shared" ca="1" si="26"/>
        <v>#N/A</v>
      </c>
      <c r="AE43" s="324">
        <f t="shared" ca="1" si="5"/>
        <v>5.1928500040991938</v>
      </c>
      <c r="AG43" s="306">
        <f t="shared" ca="1" si="27"/>
        <v>74.215578972371191</v>
      </c>
      <c r="AH43" s="304">
        <f t="shared" ca="1" si="28"/>
        <v>83.987429174463173</v>
      </c>
    </row>
    <row r="44" spans="1:34" x14ac:dyDescent="0.25">
      <c r="A44" s="347">
        <f t="shared" ca="1" si="6"/>
        <v>0.01</v>
      </c>
      <c r="B44" s="304">
        <f t="shared" ca="1" si="7"/>
        <v>0.40000000000000019</v>
      </c>
      <c r="D44" s="306">
        <f t="shared" ca="1" si="8"/>
        <v>7.4244910697390809</v>
      </c>
      <c r="E44" s="307">
        <f t="shared" ca="1" si="9"/>
        <v>73.83980164805493</v>
      </c>
      <c r="F44" s="304">
        <f t="shared" ca="1" si="10"/>
        <v>74.212124178389686</v>
      </c>
      <c r="G44" s="306">
        <f t="shared" ca="1" si="11"/>
        <v>2.5814788882523088</v>
      </c>
      <c r="H44" s="307">
        <f t="shared" ca="1" si="12"/>
        <v>28.98674836638585</v>
      </c>
      <c r="I44" s="304">
        <f t="shared" ca="1" si="13"/>
        <v>29.101470995581394</v>
      </c>
      <c r="J44" s="306">
        <f t="shared" ca="1" si="14"/>
        <v>0.48043928427685384</v>
      </c>
      <c r="K44" s="307">
        <f t="shared" ca="1" si="15"/>
        <v>5.4790254976806496</v>
      </c>
      <c r="L44" s="304">
        <f t="shared" ca="1" si="0"/>
        <v>5.5000493006982349</v>
      </c>
      <c r="M44" s="306">
        <f t="shared" ca="1" si="16"/>
        <v>1.4819734474664612</v>
      </c>
      <c r="N44" s="304">
        <f t="shared" ca="1" si="17"/>
        <v>84.910823890280852</v>
      </c>
      <c r="P44" s="310">
        <f t="shared" ca="1" si="18"/>
        <v>5</v>
      </c>
      <c r="Q44" s="304">
        <f t="shared" ca="1" si="19"/>
        <v>1037.5</v>
      </c>
      <c r="R44" s="306">
        <f t="shared" ca="1" si="20"/>
        <v>0.51971722066306802</v>
      </c>
      <c r="S44" s="307">
        <f t="shared" ca="1" si="21"/>
        <v>12.305598570635841</v>
      </c>
      <c r="T44" s="304">
        <f t="shared" ca="1" si="1"/>
        <v>120.71792197793761</v>
      </c>
      <c r="U44" s="311">
        <f t="shared" ca="1" si="2"/>
        <v>0</v>
      </c>
      <c r="V44" s="306">
        <f t="shared" ca="1" si="3"/>
        <v>1.224329003196964</v>
      </c>
      <c r="W44" s="304">
        <f t="shared" ca="1" si="4"/>
        <v>4.3093930485272347</v>
      </c>
      <c r="Y44" s="314" t="str">
        <f t="shared" ca="1" si="22"/>
        <v/>
      </c>
      <c r="Z44" s="315" t="str">
        <f t="shared" ca="1" si="23"/>
        <v/>
      </c>
      <c r="AA44" s="316" t="str">
        <f t="shared" ca="1" si="24"/>
        <v/>
      </c>
      <c r="AC44" s="310" t="e">
        <f t="shared" ca="1" si="25"/>
        <v>#N/A</v>
      </c>
      <c r="AD44" s="323" t="e">
        <f t="shared" ca="1" si="26"/>
        <v>#N/A</v>
      </c>
      <c r="AE44" s="324">
        <f t="shared" ca="1" si="5"/>
        <v>5.4790254976806496</v>
      </c>
      <c r="AG44" s="306">
        <f t="shared" ca="1" si="27"/>
        <v>74.207056096014099</v>
      </c>
      <c r="AH44" s="304">
        <f t="shared" ca="1" si="28"/>
        <v>83.978642424151928</v>
      </c>
    </row>
    <row r="45" spans="1:34" x14ac:dyDescent="0.25">
      <c r="A45" s="347">
        <f t="shared" ca="1" si="6"/>
        <v>0.01</v>
      </c>
      <c r="B45" s="304">
        <f t="shared" ca="1" si="7"/>
        <v>0.4100000000000002</v>
      </c>
      <c r="D45" s="306">
        <f t="shared" ca="1" si="8"/>
        <v>7.4485991840061629</v>
      </c>
      <c r="E45" s="307">
        <f t="shared" ca="1" si="9"/>
        <v>73.828363734606171</v>
      </c>
      <c r="F45" s="304">
        <f t="shared" ca="1" si="10"/>
        <v>74.203159781327969</v>
      </c>
      <c r="G45" s="306">
        <f t="shared" ca="1" si="11"/>
        <v>2.6559648800923705</v>
      </c>
      <c r="H45" s="307">
        <f t="shared" ca="1" si="12"/>
        <v>29.725032003731911</v>
      </c>
      <c r="I45" s="304">
        <f t="shared" ca="1" si="13"/>
        <v>29.843452834200846</v>
      </c>
      <c r="J45" s="306">
        <f t="shared" ca="1" si="14"/>
        <v>0.50662650311857726</v>
      </c>
      <c r="K45" s="307">
        <f t="shared" ca="1" si="15"/>
        <v>5.7725843995312385</v>
      </c>
      <c r="L45" s="304">
        <f t="shared" ca="1" si="0"/>
        <v>5.7947735989746478</v>
      </c>
      <c r="M45" s="306">
        <f t="shared" ca="1" si="16"/>
        <v>1.4816818568255101</v>
      </c>
      <c r="N45" s="304">
        <f t="shared" ca="1" si="17"/>
        <v>84.894116977208839</v>
      </c>
      <c r="P45" s="310">
        <f t="shared" ca="1" si="18"/>
        <v>5</v>
      </c>
      <c r="Q45" s="304">
        <f t="shared" ca="1" si="19"/>
        <v>1037.1666666666667</v>
      </c>
      <c r="R45" s="306">
        <f t="shared" ca="1" si="20"/>
        <v>0.51955024324277477</v>
      </c>
      <c r="S45" s="307">
        <f t="shared" ca="1" si="21"/>
        <v>12.300403068203412</v>
      </c>
      <c r="T45" s="304">
        <f t="shared" ca="1" si="1"/>
        <v>120.66695409907548</v>
      </c>
      <c r="U45" s="311">
        <f t="shared" ca="1" si="2"/>
        <v>0</v>
      </c>
      <c r="V45" s="306">
        <f t="shared" ca="1" si="3"/>
        <v>1.2242930624538899</v>
      </c>
      <c r="W45" s="304">
        <f t="shared" ca="1" si="4"/>
        <v>4.5318091454897855</v>
      </c>
      <c r="Y45" s="314" t="str">
        <f t="shared" ca="1" si="22"/>
        <v/>
      </c>
      <c r="Z45" s="315" t="str">
        <f t="shared" ca="1" si="23"/>
        <v/>
      </c>
      <c r="AA45" s="316" t="str">
        <f t="shared" ca="1" si="24"/>
        <v/>
      </c>
      <c r="AC45" s="310" t="e">
        <f t="shared" ca="1" si="25"/>
        <v>#N/A</v>
      </c>
      <c r="AD45" s="323" t="e">
        <f t="shared" ca="1" si="26"/>
        <v>#N/A</v>
      </c>
      <c r="AE45" s="324">
        <f t="shared" ca="1" si="5"/>
        <v>5.7725843995312385</v>
      </c>
      <c r="AG45" s="306">
        <f t="shared" ca="1" si="27"/>
        <v>74.198056989815157</v>
      </c>
      <c r="AH45" s="304">
        <f t="shared" ca="1" si="28"/>
        <v>83.969384408880018</v>
      </c>
    </row>
    <row r="46" spans="1:34" x14ac:dyDescent="0.25">
      <c r="A46" s="347">
        <f t="shared" ca="1" si="6"/>
        <v>0.01</v>
      </c>
      <c r="B46" s="304">
        <f t="shared" ca="1" si="7"/>
        <v>0.42000000000000021</v>
      </c>
      <c r="D46" s="306">
        <f t="shared" ca="1" si="8"/>
        <v>7.4721211370933052</v>
      </c>
      <c r="E46" s="307">
        <f t="shared" ca="1" si="9"/>
        <v>73.816497323313754</v>
      </c>
      <c r="F46" s="304">
        <f t="shared" ca="1" si="10"/>
        <v>74.193718543891464</v>
      </c>
      <c r="G46" s="306">
        <f t="shared" ca="1" si="11"/>
        <v>2.7306860914633035</v>
      </c>
      <c r="H46" s="307">
        <f t="shared" ca="1" si="12"/>
        <v>30.463196976965047</v>
      </c>
      <c r="I46" s="304">
        <f t="shared" ca="1" si="13"/>
        <v>30.58533989654984</v>
      </c>
      <c r="J46" s="306">
        <f t="shared" ca="1" si="14"/>
        <v>0.53355975797635569</v>
      </c>
      <c r="K46" s="307">
        <f t="shared" ca="1" si="15"/>
        <v>6.0735255444347231</v>
      </c>
      <c r="L46" s="304">
        <f t="shared" ca="1" si="0"/>
        <v>6.0969171352604823</v>
      </c>
      <c r="M46" s="306">
        <f t="shared" ca="1" si="16"/>
        <v>1.4813964075393229</v>
      </c>
      <c r="N46" s="304">
        <f t="shared" ca="1" si="17"/>
        <v>84.877761937845293</v>
      </c>
      <c r="P46" s="310">
        <f t="shared" ca="1" si="18"/>
        <v>5</v>
      </c>
      <c r="Q46" s="304">
        <f t="shared" ca="1" si="19"/>
        <v>1036.8333333333333</v>
      </c>
      <c r="R46" s="306">
        <f t="shared" ca="1" si="20"/>
        <v>0.51938326582248129</v>
      </c>
      <c r="S46" s="307">
        <f t="shared" ca="1" si="21"/>
        <v>12.295209235545187</v>
      </c>
      <c r="T46" s="304">
        <f t="shared" ca="1" si="1"/>
        <v>120.61600260069829</v>
      </c>
      <c r="U46" s="311">
        <f t="shared" ca="1" si="2"/>
        <v>0</v>
      </c>
      <c r="V46" s="306">
        <f t="shared" ca="1" si="3"/>
        <v>1.2242562189894552</v>
      </c>
      <c r="W46" s="304">
        <f t="shared" ca="1" si="4"/>
        <v>4.759781608630635</v>
      </c>
      <c r="Y46" s="314" t="str">
        <f t="shared" ca="1" si="22"/>
        <v/>
      </c>
      <c r="Z46" s="315" t="str">
        <f t="shared" ca="1" si="23"/>
        <v/>
      </c>
      <c r="AA46" s="316" t="str">
        <f t="shared" ca="1" si="24"/>
        <v/>
      </c>
      <c r="AC46" s="310" t="e">
        <f t="shared" ca="1" si="25"/>
        <v>#N/A</v>
      </c>
      <c r="AD46" s="323" t="e">
        <f t="shared" ca="1" si="26"/>
        <v>#N/A</v>
      </c>
      <c r="AE46" s="324">
        <f t="shared" ca="1" si="5"/>
        <v>6.0735255444347231</v>
      </c>
      <c r="AG46" s="306">
        <f t="shared" ca="1" si="27"/>
        <v>74.188581628245629</v>
      </c>
      <c r="AH46" s="304">
        <f t="shared" ca="1" si="28"/>
        <v>83.959654887651837</v>
      </c>
    </row>
    <row r="47" spans="1:34" x14ac:dyDescent="0.25">
      <c r="A47" s="347">
        <f t="shared" ca="1" si="6"/>
        <v>0.01</v>
      </c>
      <c r="B47" s="304">
        <f t="shared" ca="1" si="7"/>
        <v>0.43000000000000022</v>
      </c>
      <c r="D47" s="306">
        <f t="shared" ca="1" si="8"/>
        <v>7.4950811793236776</v>
      </c>
      <c r="E47" s="307">
        <f t="shared" ca="1" si="9"/>
        <v>73.804200488979532</v>
      </c>
      <c r="F47" s="304">
        <f t="shared" ca="1" si="10"/>
        <v>74.183800466827918</v>
      </c>
      <c r="G47" s="306">
        <f t="shared" ca="1" si="11"/>
        <v>2.8056369032565405</v>
      </c>
      <c r="H47" s="307">
        <f t="shared" ca="1" si="12"/>
        <v>31.201238981854843</v>
      </c>
      <c r="I47" s="304">
        <f t="shared" ca="1" si="13"/>
        <v>31.327127420747235</v>
      </c>
      <c r="J47" s="306">
        <f t="shared" ca="1" si="14"/>
        <v>0.56124137294995491</v>
      </c>
      <c r="K47" s="307">
        <f t="shared" ca="1" si="15"/>
        <v>6.3818477242288223</v>
      </c>
      <c r="L47" s="304">
        <f t="shared" ca="1" si="0"/>
        <v>6.4064789279256473</v>
      </c>
      <c r="M47" s="306">
        <f t="shared" ca="1" si="16"/>
        <v>1.4811168270204336</v>
      </c>
      <c r="N47" s="304">
        <f t="shared" ca="1" si="17"/>
        <v>84.861743154078852</v>
      </c>
      <c r="P47" s="310">
        <f t="shared" ca="1" si="18"/>
        <v>5</v>
      </c>
      <c r="Q47" s="304">
        <f t="shared" ca="1" si="19"/>
        <v>1036.5</v>
      </c>
      <c r="R47" s="306">
        <f t="shared" ca="1" si="20"/>
        <v>0.51921628840218792</v>
      </c>
      <c r="S47" s="307">
        <f t="shared" ca="1" si="21"/>
        <v>12.290017072661165</v>
      </c>
      <c r="T47" s="304">
        <f t="shared" ca="1" si="1"/>
        <v>120.56506748280603</v>
      </c>
      <c r="U47" s="311">
        <f t="shared" ca="1" si="2"/>
        <v>0</v>
      </c>
      <c r="V47" s="306">
        <f t="shared" ca="1" si="3"/>
        <v>1.2242184730330872</v>
      </c>
      <c r="W47" s="304">
        <f t="shared" ca="1" si="4"/>
        <v>4.9933057666039229</v>
      </c>
      <c r="Y47" s="314" t="str">
        <f t="shared" ca="1" si="22"/>
        <v/>
      </c>
      <c r="Z47" s="315" t="str">
        <f t="shared" ca="1" si="23"/>
        <v/>
      </c>
      <c r="AA47" s="316" t="str">
        <f t="shared" ca="1" si="24"/>
        <v/>
      </c>
      <c r="AC47" s="310" t="e">
        <f t="shared" ca="1" si="25"/>
        <v>#N/A</v>
      </c>
      <c r="AD47" s="323" t="e">
        <f t="shared" ca="1" si="26"/>
        <v>#N/A</v>
      </c>
      <c r="AE47" s="324">
        <f t="shared" ca="1" si="5"/>
        <v>6.3818477242288223</v>
      </c>
      <c r="AG47" s="306">
        <f t="shared" ca="1" si="27"/>
        <v>74.178629985076583</v>
      </c>
      <c r="AH47" s="304">
        <f t="shared" ca="1" si="28"/>
        <v>83.949453633099466</v>
      </c>
    </row>
    <row r="48" spans="1:34" x14ac:dyDescent="0.25">
      <c r="A48" s="347">
        <f t="shared" ca="1" si="6"/>
        <v>0.01</v>
      </c>
      <c r="B48" s="304">
        <f t="shared" ca="1" si="7"/>
        <v>0.44000000000000022</v>
      </c>
      <c r="D48" s="306">
        <f t="shared" ca="1" si="8"/>
        <v>7.517501902744125</v>
      </c>
      <c r="E48" s="307">
        <f t="shared" ca="1" si="9"/>
        <v>73.791471431252049</v>
      </c>
      <c r="F48" s="304">
        <f t="shared" ca="1" si="10"/>
        <v>74.173405549745723</v>
      </c>
      <c r="G48" s="306">
        <f t="shared" ca="1" si="11"/>
        <v>2.8808119222839816</v>
      </c>
      <c r="H48" s="307">
        <f t="shared" ca="1" si="12"/>
        <v>31.939153696167363</v>
      </c>
      <c r="I48" s="304">
        <f t="shared" ca="1" si="13"/>
        <v>32.068810644596333</v>
      </c>
      <c r="J48" s="306">
        <f t="shared" ca="1" si="14"/>
        <v>0.58967361707765753</v>
      </c>
      <c r="K48" s="307">
        <f t="shared" ca="1" si="15"/>
        <v>6.6975496876189329</v>
      </c>
      <c r="L48" s="304">
        <f t="shared" ca="1" si="0"/>
        <v>6.7234579490617703</v>
      </c>
      <c r="M48" s="306">
        <f t="shared" ca="1" si="16"/>
        <v>1.4808428607792288</v>
      </c>
      <c r="N48" s="304">
        <f t="shared" ca="1" si="17"/>
        <v>84.846046044728752</v>
      </c>
      <c r="P48" s="310">
        <f t="shared" ca="1" si="18"/>
        <v>5</v>
      </c>
      <c r="Q48" s="304">
        <f t="shared" ca="1" si="19"/>
        <v>1036.1666666666667</v>
      </c>
      <c r="R48" s="306">
        <f t="shared" ca="1" si="20"/>
        <v>0.51904931098189466</v>
      </c>
      <c r="S48" s="307">
        <f t="shared" ca="1" si="21"/>
        <v>12.284826579551346</v>
      </c>
      <c r="T48" s="304">
        <f t="shared" ca="1" si="1"/>
        <v>120.51414874539871</v>
      </c>
      <c r="U48" s="311">
        <f t="shared" ca="1" si="2"/>
        <v>0</v>
      </c>
      <c r="V48" s="306">
        <f t="shared" ca="1" si="3"/>
        <v>1.2241798248214675</v>
      </c>
      <c r="W48" s="304">
        <f t="shared" ca="1" si="4"/>
        <v>5.2323767804969652</v>
      </c>
      <c r="Y48" s="314" t="str">
        <f t="shared" ca="1" si="22"/>
        <v/>
      </c>
      <c r="Z48" s="315" t="str">
        <f t="shared" ca="1" si="23"/>
        <v/>
      </c>
      <c r="AA48" s="316" t="str">
        <f t="shared" ca="1" si="24"/>
        <v/>
      </c>
      <c r="AC48" s="310" t="e">
        <f t="shared" ca="1" si="25"/>
        <v>#N/A</v>
      </c>
      <c r="AD48" s="323" t="e">
        <f t="shared" ca="1" si="26"/>
        <v>#N/A</v>
      </c>
      <c r="AE48" s="324">
        <f t="shared" ca="1" si="5"/>
        <v>6.6975496876189329</v>
      </c>
      <c r="AG48" s="306">
        <f t="shared" ca="1" si="27"/>
        <v>74.168202034670571</v>
      </c>
      <c r="AH48" s="304">
        <f t="shared" ca="1" si="28"/>
        <v>83.938780431503844</v>
      </c>
    </row>
    <row r="49" spans="1:34" x14ac:dyDescent="0.25">
      <c r="A49" s="347">
        <f t="shared" ca="1" si="6"/>
        <v>0.01</v>
      </c>
      <c r="B49" s="304">
        <f t="shared" ca="1" si="7"/>
        <v>0.45000000000000023</v>
      </c>
      <c r="D49" s="306">
        <f t="shared" ca="1" si="8"/>
        <v>7.5394043899914447</v>
      </c>
      <c r="E49" s="307">
        <f t="shared" ca="1" si="9"/>
        <v>73.778308464990531</v>
      </c>
      <c r="F49" s="304">
        <f t="shared" ca="1" si="10"/>
        <v>74.162533792415118</v>
      </c>
      <c r="G49" s="306">
        <f t="shared" ca="1" si="11"/>
        <v>2.9562059661838962</v>
      </c>
      <c r="H49" s="307">
        <f t="shared" ca="1" si="12"/>
        <v>32.676936780817272</v>
      </c>
      <c r="I49" s="304">
        <f t="shared" ca="1" si="13"/>
        <v>32.810384805607356</v>
      </c>
      <c r="J49" s="306">
        <f t="shared" ca="1" si="14"/>
        <v>0.61885870651999697</v>
      </c>
      <c r="K49" s="307">
        <f t="shared" ca="1" si="15"/>
        <v>7.0206301400038562</v>
      </c>
      <c r="L49" s="304">
        <f t="shared" ca="1" si="0"/>
        <v>7.0478531242759432</v>
      </c>
      <c r="M49" s="306">
        <f t="shared" ca="1" si="16"/>
        <v>1.480574270839891</v>
      </c>
      <c r="N49" s="304">
        <f t="shared" ca="1" si="17"/>
        <v>84.830656974785029</v>
      </c>
      <c r="P49" s="310">
        <f t="shared" ca="1" si="18"/>
        <v>5</v>
      </c>
      <c r="Q49" s="304">
        <f t="shared" ca="1" si="19"/>
        <v>1035.8333333333333</v>
      </c>
      <c r="R49" s="306">
        <f t="shared" ca="1" si="20"/>
        <v>0.51888233356160118</v>
      </c>
      <c r="S49" s="307">
        <f t="shared" ca="1" si="21"/>
        <v>12.279637756215731</v>
      </c>
      <c r="T49" s="304">
        <f t="shared" ca="1" si="1"/>
        <v>120.46324638847632</v>
      </c>
      <c r="U49" s="311">
        <f t="shared" ca="1" si="2"/>
        <v>0</v>
      </c>
      <c r="V49" s="306">
        <f t="shared" ca="1" si="3"/>
        <v>1.224140274598553</v>
      </c>
      <c r="W49" s="304">
        <f t="shared" ca="1" si="4"/>
        <v>5.4769896439432095</v>
      </c>
      <c r="Y49" s="314" t="str">
        <f t="shared" ca="1" si="22"/>
        <v/>
      </c>
      <c r="Z49" s="315" t="str">
        <f t="shared" ca="1" si="23"/>
        <v/>
      </c>
      <c r="AA49" s="316" t="str">
        <f t="shared" ca="1" si="24"/>
        <v/>
      </c>
      <c r="AC49" s="310" t="e">
        <f t="shared" ca="1" si="25"/>
        <v>#N/A</v>
      </c>
      <c r="AD49" s="323" t="e">
        <f t="shared" ca="1" si="26"/>
        <v>#N/A</v>
      </c>
      <c r="AE49" s="324">
        <f t="shared" ca="1" si="5"/>
        <v>7.0206301400038562</v>
      </c>
      <c r="AG49" s="306">
        <f t="shared" ca="1" si="27"/>
        <v>74.157297753133463</v>
      </c>
      <c r="AH49" s="304">
        <f t="shared" ca="1" si="28"/>
        <v>83.927635082815428</v>
      </c>
    </row>
    <row r="50" spans="1:34" x14ac:dyDescent="0.25">
      <c r="A50" s="347">
        <f t="shared" ca="1" si="6"/>
        <v>0.01</v>
      </c>
      <c r="B50" s="304">
        <f t="shared" ca="1" si="7"/>
        <v>0.46000000000000024</v>
      </c>
      <c r="D50" s="306">
        <f t="shared" ca="1" si="8"/>
        <v>7.5608083467484688</v>
      </c>
      <c r="E50" s="307">
        <f t="shared" ca="1" si="9"/>
        <v>73.76471001166567</v>
      </c>
      <c r="F50" s="304">
        <f t="shared" ca="1" si="10"/>
        <v>74.151185195931902</v>
      </c>
      <c r="G50" s="306">
        <f t="shared" ca="1" si="11"/>
        <v>3.031814049651381</v>
      </c>
      <c r="H50" s="307">
        <f t="shared" ca="1" si="12"/>
        <v>33.414583880933925</v>
      </c>
      <c r="I50" s="304">
        <f t="shared" ca="1" si="13"/>
        <v>33.551845141029617</v>
      </c>
      <c r="J50" s="306">
        <f t="shared" ca="1" si="14"/>
        <v>0.64879880659917333</v>
      </c>
      <c r="K50" s="307">
        <f t="shared" ca="1" si="15"/>
        <v>7.3510877433126121</v>
      </c>
      <c r="L50" s="304">
        <f t="shared" ca="1" si="0"/>
        <v>7.3796633325189998</v>
      </c>
      <c r="M50" s="306">
        <f t="shared" ca="1" si="16"/>
        <v>1.4803108343269771</v>
      </c>
      <c r="N50" s="304">
        <f t="shared" ca="1" si="17"/>
        <v>84.815563174425421</v>
      </c>
      <c r="P50" s="310">
        <f t="shared" ca="1" si="18"/>
        <v>5</v>
      </c>
      <c r="Q50" s="304">
        <f t="shared" ca="1" si="19"/>
        <v>1035.5</v>
      </c>
      <c r="R50" s="306">
        <f t="shared" ca="1" si="20"/>
        <v>0.51871535614130793</v>
      </c>
      <c r="S50" s="307">
        <f t="shared" ca="1" si="21"/>
        <v>12.274450602654317</v>
      </c>
      <c r="T50" s="304">
        <f t="shared" ca="1" si="1"/>
        <v>120.41236041203886</v>
      </c>
      <c r="U50" s="311">
        <f t="shared" ca="1" si="2"/>
        <v>0</v>
      </c>
      <c r="V50" s="306">
        <f t="shared" ca="1" si="3"/>
        <v>1.2240998226155915</v>
      </c>
      <c r="W50" s="304">
        <f t="shared" ca="1" si="4"/>
        <v>5.7271391832439074</v>
      </c>
      <c r="Y50" s="314" t="str">
        <f t="shared" ca="1" si="22"/>
        <v/>
      </c>
      <c r="Z50" s="315" t="str">
        <f t="shared" ca="1" si="23"/>
        <v/>
      </c>
      <c r="AA50" s="316" t="str">
        <f t="shared" ca="1" si="24"/>
        <v/>
      </c>
      <c r="AC50" s="310" t="e">
        <f t="shared" ca="1" si="25"/>
        <v>#N/A</v>
      </c>
      <c r="AD50" s="323" t="e">
        <f t="shared" ca="1" si="26"/>
        <v>#N/A</v>
      </c>
      <c r="AE50" s="324">
        <f t="shared" ca="1" si="5"/>
        <v>7.3510877433126121</v>
      </c>
      <c r="AG50" s="306">
        <f t="shared" ca="1" si="27"/>
        <v>74.145917119344062</v>
      </c>
      <c r="AH50" s="304">
        <f t="shared" ca="1" si="28"/>
        <v>83.916017400674292</v>
      </c>
    </row>
    <row r="51" spans="1:34" x14ac:dyDescent="0.25">
      <c r="A51" s="347">
        <f t="shared" ca="1" si="6"/>
        <v>0.01</v>
      </c>
      <c r="B51" s="304">
        <f t="shared" ca="1" si="7"/>
        <v>0.47000000000000025</v>
      </c>
      <c r="D51" s="306">
        <f t="shared" ca="1" si="8"/>
        <v>7.5817322199217747</v>
      </c>
      <c r="E51" s="307">
        <f t="shared" ca="1" si="9"/>
        <v>73.750674591664378</v>
      </c>
      <c r="F51" s="304">
        <f t="shared" ca="1" si="10"/>
        <v>74.139359763759558</v>
      </c>
      <c r="G51" s="306">
        <f t="shared" ca="1" si="11"/>
        <v>3.1076313718505988</v>
      </c>
      <c r="H51" s="307">
        <f t="shared" ca="1" si="12"/>
        <v>34.152090626850566</v>
      </c>
      <c r="I51" s="304">
        <f t="shared" ca="1" si="13"/>
        <v>34.293186887892531</v>
      </c>
      <c r="J51" s="306">
        <f t="shared" ca="1" si="14"/>
        <v>0.67949603370668321</v>
      </c>
      <c r="K51" s="307">
        <f t="shared" ca="1" si="15"/>
        <v>7.6889211158515343</v>
      </c>
      <c r="L51" s="304">
        <f t="shared" ca="1" si="0"/>
        <v>7.7188874059420449</v>
      </c>
      <c r="M51" s="306">
        <f t="shared" ca="1" si="16"/>
        <v>1.4800523422009542</v>
      </c>
      <c r="N51" s="304">
        <f t="shared" ca="1" si="17"/>
        <v>84.800752666566936</v>
      </c>
      <c r="P51" s="310">
        <f t="shared" ca="1" si="18"/>
        <v>5</v>
      </c>
      <c r="Q51" s="304">
        <f t="shared" ca="1" si="19"/>
        <v>1035.1666666666667</v>
      </c>
      <c r="R51" s="306">
        <f t="shared" ca="1" si="20"/>
        <v>0.51854837872101456</v>
      </c>
      <c r="S51" s="307">
        <f t="shared" ca="1" si="21"/>
        <v>12.269265118867107</v>
      </c>
      <c r="T51" s="304">
        <f t="shared" ca="1" si="1"/>
        <v>120.36149081608633</v>
      </c>
      <c r="U51" s="311">
        <f t="shared" ca="1" si="2"/>
        <v>0</v>
      </c>
      <c r="V51" s="306">
        <f t="shared" ca="1" si="3"/>
        <v>1.2240584691311371</v>
      </c>
      <c r="W51" s="304">
        <f t="shared" ca="1" si="4"/>
        <v>5.9828200574987056</v>
      </c>
      <c r="Y51" s="314" t="str">
        <f t="shared" ca="1" si="22"/>
        <v/>
      </c>
      <c r="Z51" s="315" t="str">
        <f t="shared" ca="1" si="23"/>
        <v/>
      </c>
      <c r="AA51" s="316" t="str">
        <f t="shared" ca="1" si="24"/>
        <v/>
      </c>
      <c r="AC51" s="310" t="e">
        <f t="shared" ca="1" si="25"/>
        <v>#N/A</v>
      </c>
      <c r="AD51" s="323" t="e">
        <f t="shared" ca="1" si="26"/>
        <v>#N/A</v>
      </c>
      <c r="AE51" s="324">
        <f t="shared" ca="1" si="5"/>
        <v>7.6889211158515343</v>
      </c>
      <c r="AG51" s="306">
        <f t="shared" ca="1" si="27"/>
        <v>74.134060115876991</v>
      </c>
      <c r="AH51" s="304">
        <f t="shared" ca="1" si="28"/>
        <v>83.903927212429238</v>
      </c>
    </row>
    <row r="52" spans="1:34" x14ac:dyDescent="0.25">
      <c r="A52" s="347">
        <f t="shared" ca="1" si="6"/>
        <v>0.01</v>
      </c>
      <c r="B52" s="304">
        <f t="shared" ca="1" si="7"/>
        <v>0.48000000000000026</v>
      </c>
      <c r="D52" s="306">
        <f t="shared" ca="1" si="8"/>
        <v>7.6021933033557509</v>
      </c>
      <c r="E52" s="307">
        <f t="shared" ca="1" si="9"/>
        <v>73.736200817387044</v>
      </c>
      <c r="F52" s="304">
        <f t="shared" ca="1" si="10"/>
        <v>74.127057502666446</v>
      </c>
      <c r="G52" s="306">
        <f t="shared" ca="1" si="11"/>
        <v>3.1836533048841562</v>
      </c>
      <c r="H52" s="307">
        <f t="shared" ca="1" si="12"/>
        <v>34.889452635024433</v>
      </c>
      <c r="I52" s="304">
        <f t="shared" ca="1" si="13"/>
        <v>35.034405283054447</v>
      </c>
      <c r="J52" s="306">
        <f t="shared" ca="1" si="14"/>
        <v>0.71095245709035693</v>
      </c>
      <c r="K52" s="307">
        <f t="shared" ca="1" si="15"/>
        <v>8.0341288321609099</v>
      </c>
      <c r="L52" s="304">
        <f t="shared" ca="1" si="0"/>
        <v>8.065524129776195</v>
      </c>
      <c r="M52" s="306">
        <f t="shared" ca="1" si="16"/>
        <v>1.4797985981241719</v>
      </c>
      <c r="N52" s="304">
        <f t="shared" ca="1" si="17"/>
        <v>84.786214201890871</v>
      </c>
      <c r="P52" s="310">
        <f t="shared" ca="1" si="18"/>
        <v>5</v>
      </c>
      <c r="Q52" s="304">
        <f t="shared" ca="1" si="19"/>
        <v>1034.8333333333333</v>
      </c>
      <c r="R52" s="306">
        <f t="shared" ca="1" si="20"/>
        <v>0.51838140130072119</v>
      </c>
      <c r="S52" s="307">
        <f t="shared" ca="1" si="21"/>
        <v>12.2640813048541</v>
      </c>
      <c r="T52" s="304">
        <f t="shared" ca="1" si="1"/>
        <v>120.31063760061873</v>
      </c>
      <c r="U52" s="311">
        <f t="shared" ca="1" si="2"/>
        <v>0</v>
      </c>
      <c r="V52" s="306">
        <f t="shared" ca="1" si="3"/>
        <v>1.2240162144110684</v>
      </c>
      <c r="W52" s="304">
        <f t="shared" ca="1" si="4"/>
        <v>6.2440267587452833</v>
      </c>
      <c r="Y52" s="314" t="str">
        <f t="shared" ca="1" si="22"/>
        <v/>
      </c>
      <c r="Z52" s="315" t="str">
        <f t="shared" ca="1" si="23"/>
        <v/>
      </c>
      <c r="AA52" s="316" t="str">
        <f t="shared" ca="1" si="24"/>
        <v/>
      </c>
      <c r="AC52" s="310" t="e">
        <f t="shared" ca="1" si="25"/>
        <v>#N/A</v>
      </c>
      <c r="AD52" s="323" t="e">
        <f t="shared" ca="1" si="26"/>
        <v>#N/A</v>
      </c>
      <c r="AE52" s="324">
        <f t="shared" ca="1" si="5"/>
        <v>8.0341288321609099</v>
      </c>
      <c r="AG52" s="306">
        <f t="shared" ca="1" si="27"/>
        <v>74.121726729832233</v>
      </c>
      <c r="AH52" s="304">
        <f t="shared" ca="1" si="28"/>
        <v>83.891364359156483</v>
      </c>
    </row>
    <row r="53" spans="1:34" x14ac:dyDescent="0.25">
      <c r="A53" s="347">
        <f t="shared" ca="1" si="6"/>
        <v>0.01</v>
      </c>
      <c r="B53" s="304">
        <f t="shared" ca="1" si="7"/>
        <v>0.49000000000000027</v>
      </c>
      <c r="D53" s="306">
        <f t="shared" ca="1" si="8"/>
        <v>7.6222078326334719</v>
      </c>
      <c r="E53" s="307">
        <f t="shared" ca="1" si="9"/>
        <v>73.721287387039908</v>
      </c>
      <c r="F53" s="304">
        <f t="shared" ca="1" si="10"/>
        <v>74.114278423569559</v>
      </c>
      <c r="G53" s="306">
        <f t="shared" ca="1" si="11"/>
        <v>3.259875383210491</v>
      </c>
      <c r="H53" s="307">
        <f t="shared" ca="1" si="12"/>
        <v>35.626665508894831</v>
      </c>
      <c r="I53" s="304">
        <f t="shared" ca="1" si="13"/>
        <v>35.775495563258637</v>
      </c>
      <c r="J53" s="306">
        <f t="shared" ca="1" si="14"/>
        <v>0.74317010053083021</v>
      </c>
      <c r="K53" s="307">
        <f t="shared" ca="1" si="15"/>
        <v>8.3867094228805055</v>
      </c>
      <c r="L53" s="304">
        <f t="shared" ca="1" si="0"/>
        <v>8.4195722422315296</v>
      </c>
      <c r="M53" s="306">
        <f t="shared" ca="1" si="16"/>
        <v>1.4795494174413883</v>
      </c>
      <c r="N53" s="304">
        <f t="shared" ca="1" si="17"/>
        <v>84.771937200431182</v>
      </c>
      <c r="P53" s="310">
        <f t="shared" ca="1" si="18"/>
        <v>5</v>
      </c>
      <c r="Q53" s="304">
        <f t="shared" ca="1" si="19"/>
        <v>1034.5</v>
      </c>
      <c r="R53" s="306">
        <f t="shared" ca="1" si="20"/>
        <v>0.51821442388042782</v>
      </c>
      <c r="S53" s="307">
        <f t="shared" ca="1" si="21"/>
        <v>12.258899160615297</v>
      </c>
      <c r="T53" s="304">
        <f t="shared" ca="1" si="1"/>
        <v>120.25980076563607</v>
      </c>
      <c r="U53" s="311">
        <f t="shared" ca="1" si="2"/>
        <v>0</v>
      </c>
      <c r="V53" s="306">
        <f t="shared" ca="1" si="3"/>
        <v>1.2239730587285991</v>
      </c>
      <c r="W53" s="304">
        <f t="shared" ca="1" si="4"/>
        <v>6.5107536121081484</v>
      </c>
      <c r="Y53" s="314" t="str">
        <f t="shared" ca="1" si="22"/>
        <v/>
      </c>
      <c r="Z53" s="315" t="str">
        <f t="shared" ca="1" si="23"/>
        <v/>
      </c>
      <c r="AA53" s="316" t="str">
        <f t="shared" ca="1" si="24"/>
        <v/>
      </c>
      <c r="AC53" s="310" t="e">
        <f t="shared" ca="1" si="25"/>
        <v>#N/A</v>
      </c>
      <c r="AD53" s="323" t="e">
        <f t="shared" ca="1" si="26"/>
        <v>#N/A</v>
      </c>
      <c r="AE53" s="324">
        <f t="shared" ca="1" si="5"/>
        <v>8.3867094228805055</v>
      </c>
      <c r="AG53" s="306">
        <f t="shared" ca="1" si="27"/>
        <v>74.108916953582408</v>
      </c>
      <c r="AH53" s="304">
        <f t="shared" ca="1" si="28"/>
        <v>83.878328695677482</v>
      </c>
    </row>
    <row r="54" spans="1:34" x14ac:dyDescent="0.25">
      <c r="A54" s="347">
        <f t="shared" ca="1" si="6"/>
        <v>0.01</v>
      </c>
      <c r="B54" s="304">
        <f t="shared" ca="1" si="7"/>
        <v>0.50000000000000022</v>
      </c>
      <c r="D54" s="306">
        <f t="shared" ca="1" si="8"/>
        <v>7.6417910702938068</v>
      </c>
      <c r="E54" s="307">
        <f t="shared" ca="1" si="9"/>
        <v>73.705933079039923</v>
      </c>
      <c r="F54" s="304">
        <f t="shared" ca="1" si="10"/>
        <v>74.101022542296491</v>
      </c>
      <c r="G54" s="306">
        <f t="shared" ca="1" si="11"/>
        <v>3.3362932939134291</v>
      </c>
      <c r="H54" s="307">
        <f t="shared" ca="1" si="12"/>
        <v>36.363724839685233</v>
      </c>
      <c r="I54" s="304">
        <f t="shared" ca="1" si="13"/>
        <v>36.516452965195739</v>
      </c>
      <c r="J54" s="306">
        <f t="shared" ca="1" si="14"/>
        <v>0.77615094391644979</v>
      </c>
      <c r="K54" s="307">
        <f t="shared" ca="1" si="15"/>
        <v>8.7466613746234056</v>
      </c>
      <c r="L54" s="304">
        <f t="shared" ca="1" si="0"/>
        <v>8.7810304344120915</v>
      </c>
      <c r="M54" s="306">
        <f t="shared" ca="1" si="16"/>
        <v>1.4793046262611829</v>
      </c>
      <c r="N54" s="304">
        <f t="shared" ca="1" si="17"/>
        <v>84.757911698943389</v>
      </c>
      <c r="P54" s="310">
        <f t="shared" ca="1" si="18"/>
        <v>5</v>
      </c>
      <c r="Q54" s="304">
        <f t="shared" ca="1" si="19"/>
        <v>1034.1666666666667</v>
      </c>
      <c r="R54" s="306">
        <f t="shared" ca="1" si="20"/>
        <v>0.51804744646013456</v>
      </c>
      <c r="S54" s="307">
        <f t="shared" ca="1" si="21"/>
        <v>12.253718686150695</v>
      </c>
      <c r="T54" s="304">
        <f t="shared" ca="1" si="1"/>
        <v>120.20898031113832</v>
      </c>
      <c r="U54" s="311">
        <f t="shared" ca="1" si="2"/>
        <v>0</v>
      </c>
      <c r="V54" s="306">
        <f t="shared" ca="1" si="3"/>
        <v>1.2239290023642917</v>
      </c>
      <c r="W54" s="304">
        <f t="shared" ca="1" si="4"/>
        <v>6.7829947759567499</v>
      </c>
      <c r="Y54" s="314" t="str">
        <f t="shared" ca="1" si="22"/>
        <v/>
      </c>
      <c r="Z54" s="315" t="str">
        <f t="shared" ca="1" si="23"/>
        <v/>
      </c>
      <c r="AA54" s="316" t="str">
        <f t="shared" ca="1" si="24"/>
        <v/>
      </c>
      <c r="AC54" s="310" t="e">
        <f t="shared" ca="1" si="25"/>
        <v>#N/A</v>
      </c>
      <c r="AD54" s="323" t="e">
        <f t="shared" ca="1" si="26"/>
        <v>#N/A</v>
      </c>
      <c r="AE54" s="324">
        <f t="shared" ca="1" si="5"/>
        <v>8.7466613746234056</v>
      </c>
      <c r="AG54" s="306">
        <f t="shared" ca="1" si="27"/>
        <v>74.095630785447611</v>
      </c>
      <c r="AH54" s="304">
        <f t="shared" ca="1" si="28"/>
        <v>83.864820090576103</v>
      </c>
    </row>
    <row r="55" spans="1:34" x14ac:dyDescent="0.25">
      <c r="A55" s="347">
        <f t="shared" ca="1" si="6"/>
        <v>0.01</v>
      </c>
      <c r="B55" s="304">
        <f t="shared" ca="1" si="7"/>
        <v>0.51000000000000023</v>
      </c>
      <c r="D55" s="306">
        <f t="shared" ca="1" si="8"/>
        <v>7.6609573826086841</v>
      </c>
      <c r="E55" s="307">
        <f t="shared" ca="1" si="9"/>
        <v>73.690136746960178</v>
      </c>
      <c r="F55" s="304">
        <f t="shared" ca="1" si="10"/>
        <v>74.087289880274582</v>
      </c>
      <c r="G55" s="306">
        <f t="shared" ca="1" si="11"/>
        <v>3.4129028677395161</v>
      </c>
      <c r="H55" s="307">
        <f t="shared" ca="1" si="12"/>
        <v>37.100626207154832</v>
      </c>
      <c r="I55" s="304">
        <f t="shared" ca="1" si="13"/>
        <v>37.257272725571966</v>
      </c>
      <c r="J55" s="306">
        <f t="shared" ca="1" si="14"/>
        <v>0.80989692472471453</v>
      </c>
      <c r="K55" s="307">
        <f t="shared" ca="1" si="15"/>
        <v>9.1139831298576066</v>
      </c>
      <c r="L55" s="304">
        <f t="shared" ca="1" si="0"/>
        <v>9.1498973502442968</v>
      </c>
      <c r="M55" s="306">
        <f t="shared" ca="1" si="16"/>
        <v>1.4790640606264625</v>
      </c>
      <c r="N55" s="304">
        <f t="shared" ca="1" si="17"/>
        <v>84.744128303378019</v>
      </c>
      <c r="P55" s="310">
        <f t="shared" ca="1" si="18"/>
        <v>5</v>
      </c>
      <c r="Q55" s="304">
        <f t="shared" ca="1" si="19"/>
        <v>1033.8333333333333</v>
      </c>
      <c r="R55" s="306">
        <f t="shared" ca="1" si="20"/>
        <v>0.51788046903984108</v>
      </c>
      <c r="S55" s="307">
        <f t="shared" ca="1" si="21"/>
        <v>12.248539881460296</v>
      </c>
      <c r="T55" s="304">
        <f t="shared" ca="1" si="1"/>
        <v>120.1581762371255</v>
      </c>
      <c r="U55" s="311">
        <f t="shared" ca="1" si="2"/>
        <v>0</v>
      </c>
      <c r="V55" s="306">
        <f t="shared" ca="1" si="3"/>
        <v>1.2238840456060684</v>
      </c>
      <c r="W55" s="304">
        <f t="shared" ca="1" si="4"/>
        <v>7.0607442420729516</v>
      </c>
      <c r="Y55" s="314" t="str">
        <f t="shared" ca="1" si="22"/>
        <v/>
      </c>
      <c r="Z55" s="315" t="str">
        <f t="shared" ca="1" si="23"/>
        <v/>
      </c>
      <c r="AA55" s="316" t="str">
        <f t="shared" ca="1" si="24"/>
        <v/>
      </c>
      <c r="AC55" s="310" t="e">
        <f t="shared" ca="1" si="25"/>
        <v>#N/A</v>
      </c>
      <c r="AD55" s="323" t="e">
        <f t="shared" ca="1" si="26"/>
        <v>#N/A</v>
      </c>
      <c r="AE55" s="324">
        <f t="shared" ca="1" si="5"/>
        <v>9.1139831298576066</v>
      </c>
      <c r="AG55" s="306">
        <f t="shared" ca="1" si="27"/>
        <v>74.08186823030583</v>
      </c>
      <c r="AH55" s="304">
        <f t="shared" ca="1" si="28"/>
        <v>83.850838426214892</v>
      </c>
    </row>
    <row r="56" spans="1:34" x14ac:dyDescent="0.25">
      <c r="A56" s="347">
        <f t="shared" ca="1" si="6"/>
        <v>0.01</v>
      </c>
      <c r="B56" s="304">
        <f t="shared" ca="1" si="7"/>
        <v>0.52000000000000024</v>
      </c>
      <c r="D56" s="306">
        <f t="shared" ca="1" si="8"/>
        <v>7.6797203089076627</v>
      </c>
      <c r="E56" s="307">
        <f t="shared" ca="1" si="9"/>
        <v>73.673897314954388</v>
      </c>
      <c r="F56" s="304">
        <f t="shared" ca="1" si="10"/>
        <v>74.07308046515611</v>
      </c>
      <c r="G56" s="306">
        <f t="shared" ca="1" si="11"/>
        <v>3.4897000708285928</v>
      </c>
      <c r="H56" s="307">
        <f t="shared" ca="1" si="12"/>
        <v>37.837365180304374</v>
      </c>
      <c r="I56" s="304">
        <f t="shared" ca="1" si="13"/>
        <v>37.99795008118268</v>
      </c>
      <c r="J56" s="306">
        <f t="shared" ca="1" si="14"/>
        <v>0.84440993941755504</v>
      </c>
      <c r="K56" s="307">
        <f t="shared" ca="1" si="15"/>
        <v>9.4886730867949023</v>
      </c>
      <c r="L56" s="304">
        <f t="shared" ca="1" si="0"/>
        <v>9.5261715864167105</v>
      </c>
      <c r="M56" s="306">
        <f t="shared" ca="1" si="16"/>
        <v>1.4788275657638479</v>
      </c>
      <c r="N56" s="304">
        <f t="shared" ca="1" si="17"/>
        <v>84.730578145873679</v>
      </c>
      <c r="P56" s="310">
        <f t="shared" ca="1" si="18"/>
        <v>5</v>
      </c>
      <c r="Q56" s="304">
        <f t="shared" ca="1" si="19"/>
        <v>1033.5</v>
      </c>
      <c r="R56" s="306">
        <f t="shared" ca="1" si="20"/>
        <v>0.51771349161954783</v>
      </c>
      <c r="S56" s="307">
        <f t="shared" ca="1" si="21"/>
        <v>12.243362746544101</v>
      </c>
      <c r="T56" s="304">
        <f t="shared" ca="1" si="1"/>
        <v>120.10738854359764</v>
      </c>
      <c r="U56" s="311">
        <f t="shared" ca="1" si="2"/>
        <v>0</v>
      </c>
      <c r="V56" s="306">
        <f t="shared" ca="1" si="3"/>
        <v>1.2238381887492251</v>
      </c>
      <c r="W56" s="304">
        <f t="shared" ca="1" si="4"/>
        <v>7.3439958358280535</v>
      </c>
      <c r="Y56" s="314" t="str">
        <f t="shared" ca="1" si="22"/>
        <v/>
      </c>
      <c r="Z56" s="315" t="str">
        <f t="shared" ca="1" si="23"/>
        <v/>
      </c>
      <c r="AA56" s="316" t="str">
        <f t="shared" ca="1" si="24"/>
        <v/>
      </c>
      <c r="AC56" s="310" t="e">
        <f t="shared" ca="1" si="25"/>
        <v>#N/A</v>
      </c>
      <c r="AD56" s="323" t="e">
        <f t="shared" ca="1" si="26"/>
        <v>#N/A</v>
      </c>
      <c r="AE56" s="324">
        <f t="shared" ca="1" si="5"/>
        <v>9.4886730867949023</v>
      </c>
      <c r="AG56" s="306">
        <f t="shared" ca="1" si="27"/>
        <v>74.067629300146947</v>
      </c>
      <c r="AH56" s="304">
        <f t="shared" ca="1" si="28"/>
        <v>83.836383598750842</v>
      </c>
    </row>
    <row r="57" spans="1:34" x14ac:dyDescent="0.25">
      <c r="A57" s="347">
        <f t="shared" ca="1" si="6"/>
        <v>0.01</v>
      </c>
      <c r="B57" s="304">
        <f t="shared" ca="1" si="7"/>
        <v>0.53000000000000025</v>
      </c>
      <c r="D57" s="306">
        <f t="shared" ca="1" si="8"/>
        <v>7.6980926243045396</v>
      </c>
      <c r="E57" s="307">
        <f t="shared" ca="1" si="9"/>
        <v>73.657213773606117</v>
      </c>
      <c r="F57" s="304">
        <f t="shared" ca="1" si="10"/>
        <v>74.058394331386111</v>
      </c>
      <c r="G57" s="306">
        <f t="shared" ca="1" si="11"/>
        <v>3.566680997071638</v>
      </c>
      <c r="H57" s="307">
        <f t="shared" ca="1" si="12"/>
        <v>38.573937318040436</v>
      </c>
      <c r="I57" s="304">
        <f t="shared" ca="1" si="13"/>
        <v>38.738480268990735</v>
      </c>
      <c r="J57" s="306">
        <f t="shared" ca="1" si="14"/>
        <v>0.8796918447570562</v>
      </c>
      <c r="K57" s="307">
        <f t="shared" ca="1" si="15"/>
        <v>9.8707295992866264</v>
      </c>
      <c r="L57" s="304">
        <f t="shared" ca="1" si="0"/>
        <v>9.9098516923294664</v>
      </c>
      <c r="M57" s="306">
        <f t="shared" ca="1" si="16"/>
        <v>1.4785949954030719</v>
      </c>
      <c r="N57" s="304">
        <f t="shared" ca="1" si="17"/>
        <v>84.717252845761379</v>
      </c>
      <c r="P57" s="310">
        <f t="shared" ca="1" si="18"/>
        <v>5</v>
      </c>
      <c r="Q57" s="304">
        <f t="shared" ca="1" si="19"/>
        <v>1033.1666666666667</v>
      </c>
      <c r="R57" s="306">
        <f t="shared" ca="1" si="20"/>
        <v>0.51754651419925446</v>
      </c>
      <c r="S57" s="307">
        <f t="shared" ca="1" si="21"/>
        <v>12.238187281402109</v>
      </c>
      <c r="T57" s="304">
        <f t="shared" ca="1" si="1"/>
        <v>120.05661723055469</v>
      </c>
      <c r="U57" s="311">
        <f t="shared" ca="1" si="2"/>
        <v>0</v>
      </c>
      <c r="V57" s="306">
        <f t="shared" ca="1" si="3"/>
        <v>1.2237914320964365</v>
      </c>
      <c r="W57" s="304">
        <f t="shared" ca="1" si="4"/>
        <v>7.6327432163693132</v>
      </c>
      <c r="Y57" s="314" t="str">
        <f t="shared" ca="1" si="22"/>
        <v/>
      </c>
      <c r="Z57" s="315" t="str">
        <f t="shared" ca="1" si="23"/>
        <v/>
      </c>
      <c r="AA57" s="316" t="str">
        <f t="shared" ca="1" si="24"/>
        <v/>
      </c>
      <c r="AC57" s="310" t="e">
        <f t="shared" ca="1" si="25"/>
        <v>#N/A</v>
      </c>
      <c r="AD57" s="323" t="e">
        <f t="shared" ca="1" si="26"/>
        <v>#N/A</v>
      </c>
      <c r="AE57" s="324">
        <f t="shared" ca="1" si="5"/>
        <v>9.8707295992866264</v>
      </c>
      <c r="AG57" s="306">
        <f t="shared" ca="1" si="27"/>
        <v>74.052914014575691</v>
      </c>
      <c r="AH57" s="304">
        <f t="shared" ca="1" si="28"/>
        <v>83.821455518150216</v>
      </c>
    </row>
    <row r="58" spans="1:34" x14ac:dyDescent="0.25">
      <c r="A58" s="347">
        <f t="shared" ca="1" si="6"/>
        <v>0.01</v>
      </c>
      <c r="B58" s="304">
        <f t="shared" ca="1" si="7"/>
        <v>0.54000000000000026</v>
      </c>
      <c r="D58" s="306">
        <f t="shared" ca="1" si="8"/>
        <v>7.7160863965681568</v>
      </c>
      <c r="E58" s="307">
        <f t="shared" ca="1" si="9"/>
        <v>73.640085176155893</v>
      </c>
      <c r="F58" s="304">
        <f t="shared" ca="1" si="10"/>
        <v>74.043231520719033</v>
      </c>
      <c r="G58" s="306">
        <f t="shared" ca="1" si="11"/>
        <v>3.6438418610373198</v>
      </c>
      <c r="H58" s="307">
        <f t="shared" ca="1" si="12"/>
        <v>39.310338169801994</v>
      </c>
      <c r="I58" s="304">
        <f t="shared" ca="1" si="13"/>
        <v>39.47885852620918</v>
      </c>
      <c r="J58" s="306">
        <f t="shared" ca="1" si="14"/>
        <v>0.91574445904760093</v>
      </c>
      <c r="K58" s="307">
        <f t="shared" ca="1" si="15"/>
        <v>10.260150976725839</v>
      </c>
      <c r="L58" s="304">
        <f t="shared" ca="1" si="0"/>
        <v>10.300936170051953</v>
      </c>
      <c r="M58" s="306">
        <f t="shared" ca="1" si="16"/>
        <v>1.478366211158664</v>
      </c>
      <c r="N58" s="304">
        <f t="shared" ca="1" si="17"/>
        <v>84.704144474137721</v>
      </c>
      <c r="P58" s="310">
        <f t="shared" ca="1" si="18"/>
        <v>5</v>
      </c>
      <c r="Q58" s="304">
        <f t="shared" ca="1" si="19"/>
        <v>1032.8333333333333</v>
      </c>
      <c r="R58" s="306">
        <f t="shared" ca="1" si="20"/>
        <v>0.51737953677896098</v>
      </c>
      <c r="S58" s="307">
        <f t="shared" ca="1" si="21"/>
        <v>12.233013486034318</v>
      </c>
      <c r="T58" s="304">
        <f t="shared" ca="1" si="1"/>
        <v>120.00586229799667</v>
      </c>
      <c r="U58" s="311">
        <f t="shared" ca="1" si="2"/>
        <v>0</v>
      </c>
      <c r="V58" s="306">
        <f t="shared" ca="1" si="3"/>
        <v>1.2237437759577678</v>
      </c>
      <c r="W58" s="304">
        <f t="shared" ca="1" si="4"/>
        <v>7.926979876816147</v>
      </c>
      <c r="Y58" s="314" t="str">
        <f t="shared" ca="1" si="22"/>
        <v/>
      </c>
      <c r="Z58" s="315" t="str">
        <f t="shared" ca="1" si="23"/>
        <v/>
      </c>
      <c r="AA58" s="316" t="str">
        <f t="shared" ca="1" si="24"/>
        <v/>
      </c>
      <c r="AC58" s="310" t="e">
        <f t="shared" ca="1" si="25"/>
        <v>#N/A</v>
      </c>
      <c r="AD58" s="323" t="e">
        <f t="shared" ca="1" si="26"/>
        <v>#N/A</v>
      </c>
      <c r="AE58" s="324">
        <f t="shared" ca="1" si="5"/>
        <v>10.260150976725839</v>
      </c>
      <c r="AG58" s="306">
        <f t="shared" ca="1" si="27"/>
        <v>74.037722401269676</v>
      </c>
      <c r="AH58" s="304">
        <f t="shared" ca="1" si="28"/>
        <v>83.806054108202574</v>
      </c>
    </row>
    <row r="59" spans="1:34" x14ac:dyDescent="0.25">
      <c r="A59" s="347">
        <f t="shared" ca="1" si="6"/>
        <v>0.01</v>
      </c>
      <c r="B59" s="304">
        <f t="shared" ca="1" si="7"/>
        <v>0.55000000000000027</v>
      </c>
      <c r="D59" s="306">
        <f t="shared" ca="1" si="8"/>
        <v>7.7337130377839536</v>
      </c>
      <c r="E59" s="307">
        <f t="shared" ca="1" si="9"/>
        <v>73.622510635065751</v>
      </c>
      <c r="F59" s="304">
        <f t="shared" ca="1" si="10"/>
        <v>74.027592082690092</v>
      </c>
      <c r="G59" s="306">
        <f t="shared" ca="1" si="11"/>
        <v>3.7211789914151594</v>
      </c>
      <c r="H59" s="307">
        <f t="shared" ca="1" si="12"/>
        <v>40.046563276152654</v>
      </c>
      <c r="I59" s="304">
        <f t="shared" ca="1" si="13"/>
        <v>40.21908009038804</v>
      </c>
      <c r="J59" s="306">
        <f t="shared" ca="1" si="14"/>
        <v>0.95256956330986331</v>
      </c>
      <c r="K59" s="307">
        <f t="shared" ca="1" si="15"/>
        <v>10.656935483955612</v>
      </c>
      <c r="L59" s="304">
        <f t="shared" ca="1" si="0"/>
        <v>10.699423474287602</v>
      </c>
      <c r="M59" s="306">
        <f t="shared" ca="1" si="16"/>
        <v>1.4781410819671792</v>
      </c>
      <c r="N59" s="304">
        <f t="shared" ca="1" si="17"/>
        <v>84.691245521620445</v>
      </c>
      <c r="P59" s="310">
        <f t="shared" ca="1" si="18"/>
        <v>5</v>
      </c>
      <c r="Q59" s="304">
        <f t="shared" ca="1" si="19"/>
        <v>1032.5</v>
      </c>
      <c r="R59" s="306">
        <f t="shared" ca="1" si="20"/>
        <v>0.51721255935866772</v>
      </c>
      <c r="S59" s="307">
        <f t="shared" ca="1" si="21"/>
        <v>12.227841360440731</v>
      </c>
      <c r="T59" s="304">
        <f t="shared" ca="1" si="1"/>
        <v>119.95512374592359</v>
      </c>
      <c r="U59" s="311">
        <f t="shared" ca="1" si="2"/>
        <v>0</v>
      </c>
      <c r="V59" s="306">
        <f t="shared" ca="1" si="3"/>
        <v>1.2236952206506828</v>
      </c>
      <c r="W59" s="304">
        <f t="shared" ca="1" si="4"/>
        <v>8.2266991444660569</v>
      </c>
      <c r="Y59" s="314" t="str">
        <f t="shared" ca="1" si="22"/>
        <v/>
      </c>
      <c r="Z59" s="315" t="str">
        <f t="shared" ca="1" si="23"/>
        <v/>
      </c>
      <c r="AA59" s="316" t="str">
        <f t="shared" ca="1" si="24"/>
        <v/>
      </c>
      <c r="AC59" s="310" t="e">
        <f t="shared" ca="1" si="25"/>
        <v>#N/A</v>
      </c>
      <c r="AD59" s="323" t="e">
        <f t="shared" ca="1" si="26"/>
        <v>#N/A</v>
      </c>
      <c r="AE59" s="324">
        <f t="shared" ca="1" si="5"/>
        <v>10.656935483955612</v>
      </c>
      <c r="AG59" s="306">
        <f t="shared" ca="1" si="27"/>
        <v>74.022054496397061</v>
      </c>
      <c r="AH59" s="304">
        <f t="shared" ca="1" si="28"/>
        <v>83.790179306534185</v>
      </c>
    </row>
    <row r="60" spans="1:34" x14ac:dyDescent="0.25">
      <c r="A60" s="347">
        <f t="shared" ca="1" si="6"/>
        <v>0.01</v>
      </c>
      <c r="B60" s="304">
        <f t="shared" ca="1" si="7"/>
        <v>0.56000000000000028</v>
      </c>
      <c r="D60" s="306">
        <f t="shared" ca="1" si="8"/>
        <v>7.7509833513703503</v>
      </c>
      <c r="E60" s="307">
        <f t="shared" ca="1" si="9"/>
        <v>73.604489318884816</v>
      </c>
      <c r="F60" s="304">
        <f t="shared" ca="1" si="10"/>
        <v>74.011476075045607</v>
      </c>
      <c r="G60" s="306">
        <f t="shared" ca="1" si="11"/>
        <v>3.7986888249288628</v>
      </c>
      <c r="H60" s="307">
        <f t="shared" ca="1" si="12"/>
        <v>40.782608169341501</v>
      </c>
      <c r="I60" s="304">
        <f t="shared" ca="1" si="13"/>
        <v>40.959140199504674</v>
      </c>
      <c r="J60" s="306">
        <f t="shared" ca="1" si="14"/>
        <v>0.99016890239158339</v>
      </c>
      <c r="K60" s="307">
        <f t="shared" ca="1" si="15"/>
        <v>11.061081341183083</v>
      </c>
      <c r="L60" s="304">
        <f t="shared" ca="1" si="0"/>
        <v>11.105312012344898</v>
      </c>
      <c r="M60" s="306">
        <f t="shared" ca="1" si="16"/>
        <v>1.4779194835740643</v>
      </c>
      <c r="N60" s="304">
        <f t="shared" ca="1" si="17"/>
        <v>84.678548868948084</v>
      </c>
      <c r="P60" s="310">
        <f t="shared" ca="1" si="18"/>
        <v>5</v>
      </c>
      <c r="Q60" s="304">
        <f t="shared" ca="1" si="19"/>
        <v>1032.1666666666667</v>
      </c>
      <c r="R60" s="306">
        <f t="shared" ca="1" si="20"/>
        <v>0.51704558193837435</v>
      </c>
      <c r="S60" s="307">
        <f t="shared" ca="1" si="21"/>
        <v>12.222670904621348</v>
      </c>
      <c r="T60" s="304">
        <f t="shared" ca="1" si="1"/>
        <v>119.90440157433542</v>
      </c>
      <c r="U60" s="311">
        <f t="shared" ca="1" si="2"/>
        <v>0</v>
      </c>
      <c r="V60" s="306">
        <f t="shared" ca="1" si="3"/>
        <v>1.22364576650005</v>
      </c>
      <c r="W60" s="304">
        <f t="shared" ca="1" si="4"/>
        <v>8.5318941810102817</v>
      </c>
      <c r="Y60" s="314" t="str">
        <f t="shared" ca="1" si="22"/>
        <v/>
      </c>
      <c r="Z60" s="315" t="str">
        <f t="shared" ca="1" si="23"/>
        <v/>
      </c>
      <c r="AA60" s="316" t="str">
        <f t="shared" ca="1" si="24"/>
        <v/>
      </c>
      <c r="AC60" s="310" t="e">
        <f t="shared" ca="1" si="25"/>
        <v>#N/A</v>
      </c>
      <c r="AD60" s="323" t="e">
        <f t="shared" ca="1" si="26"/>
        <v>#N/A</v>
      </c>
      <c r="AE60" s="324">
        <f t="shared" ca="1" si="5"/>
        <v>11.061081341183083</v>
      </c>
      <c r="AG60" s="306">
        <f t="shared" ca="1" si="27"/>
        <v>74.005910344998</v>
      </c>
      <c r="AH60" s="304">
        <f t="shared" ca="1" si="28"/>
        <v>83.773831064620481</v>
      </c>
    </row>
    <row r="61" spans="1:34" x14ac:dyDescent="0.25">
      <c r="A61" s="347">
        <f t="shared" ca="1" si="6"/>
        <v>0.01</v>
      </c>
      <c r="B61" s="304">
        <f t="shared" ca="1" si="7"/>
        <v>0.57000000000000028</v>
      </c>
      <c r="D61" s="306">
        <f t="shared" ca="1" si="8"/>
        <v>7.7679075749443953</v>
      </c>
      <c r="E61" s="307">
        <f t="shared" ca="1" si="9"/>
        <v>73.586020449384762</v>
      </c>
      <c r="F61" s="304">
        <f t="shared" ca="1" si="10"/>
        <v>73.994883564136714</v>
      </c>
      <c r="G61" s="306">
        <f t="shared" ca="1" si="11"/>
        <v>3.8763679006783067</v>
      </c>
      <c r="H61" s="307">
        <f t="shared" ca="1" si="12"/>
        <v>41.518468373835347</v>
      </c>
      <c r="I61" s="304">
        <f t="shared" ca="1" si="13"/>
        <v>41.699034092057516</v>
      </c>
      <c r="J61" s="306">
        <f t="shared" ca="1" si="14"/>
        <v>1.0285441860196192</v>
      </c>
      <c r="K61" s="307">
        <f t="shared" ca="1" si="15"/>
        <v>11.472586723898967</v>
      </c>
      <c r="L61" s="304">
        <f t="shared" ca="1" si="0"/>
        <v>11.518600144113764</v>
      </c>
      <c r="M61" s="306">
        <f t="shared" ca="1" si="16"/>
        <v>1.4777012980649777</v>
      </c>
      <c r="N61" s="304">
        <f t="shared" ca="1" si="17"/>
        <v>84.666047760126503</v>
      </c>
      <c r="P61" s="310">
        <f t="shared" ca="1" si="18"/>
        <v>5</v>
      </c>
      <c r="Q61" s="304">
        <f t="shared" ca="1" si="19"/>
        <v>1031.8333333333333</v>
      </c>
      <c r="R61" s="306">
        <f t="shared" ca="1" si="20"/>
        <v>0.51687860451808099</v>
      </c>
      <c r="S61" s="307">
        <f t="shared" ca="1" si="21"/>
        <v>12.217502118576167</v>
      </c>
      <c r="T61" s="304">
        <f t="shared" ca="1" si="1"/>
        <v>119.85369578323221</v>
      </c>
      <c r="U61" s="311">
        <f t="shared" ca="1" si="2"/>
        <v>0</v>
      </c>
      <c r="V61" s="306">
        <f t="shared" ca="1" si="3"/>
        <v>1.22359541383815</v>
      </c>
      <c r="W61" s="304">
        <f t="shared" ca="1" si="4"/>
        <v>8.8425579827592991</v>
      </c>
      <c r="Y61" s="314" t="str">
        <f t="shared" ca="1" si="22"/>
        <v/>
      </c>
      <c r="Z61" s="315" t="str">
        <f t="shared" ca="1" si="23"/>
        <v/>
      </c>
      <c r="AA61" s="316" t="str">
        <f t="shared" ca="1" si="24"/>
        <v/>
      </c>
      <c r="AC61" s="310" t="e">
        <f t="shared" ca="1" si="25"/>
        <v>#N/A</v>
      </c>
      <c r="AD61" s="323" t="e">
        <f t="shared" ca="1" si="26"/>
        <v>#N/A</v>
      </c>
      <c r="AE61" s="324">
        <f t="shared" ca="1" si="5"/>
        <v>11.472586723898967</v>
      </c>
      <c r="AG61" s="306">
        <f t="shared" ca="1" si="27"/>
        <v>73.989290001333586</v>
      </c>
      <c r="AH61" s="304">
        <f t="shared" ca="1" si="28"/>
        <v>83.757009347797762</v>
      </c>
    </row>
    <row r="62" spans="1:34" x14ac:dyDescent="0.25">
      <c r="A62" s="347">
        <f t="shared" ca="1" si="6"/>
        <v>0.01</v>
      </c>
      <c r="B62" s="304">
        <f t="shared" ca="1" si="7"/>
        <v>0.58000000000000029</v>
      </c>
      <c r="D62" s="306">
        <f t="shared" ca="1" si="8"/>
        <v>7.7844954194702201</v>
      </c>
      <c r="E62" s="307">
        <f t="shared" ca="1" si="9"/>
        <v>73.567103298937525</v>
      </c>
      <c r="F62" s="304">
        <f t="shared" ca="1" si="10"/>
        <v>73.977814625280047</v>
      </c>
      <c r="G62" s="306">
        <f t="shared" ca="1" si="11"/>
        <v>3.9542128548730089</v>
      </c>
      <c r="H62" s="307">
        <f t="shared" ca="1" si="12"/>
        <v>42.25413940682472</v>
      </c>
      <c r="I62" s="304">
        <f t="shared" ca="1" si="13"/>
        <v>42.438757007162927</v>
      </c>
      <c r="J62" s="306">
        <f t="shared" ca="1" si="14"/>
        <v>1.0676970897973757</v>
      </c>
      <c r="K62" s="307">
        <f t="shared" ca="1" si="15"/>
        <v>11.891449762802267</v>
      </c>
      <c r="L62" s="304">
        <f t="shared" ca="1" si="0"/>
        <v>11.939286182046725</v>
      </c>
      <c r="M62" s="306">
        <f t="shared" ca="1" si="16"/>
        <v>1.4774864134370016</v>
      </c>
      <c r="N62" s="304">
        <f t="shared" ca="1" si="17"/>
        <v>84.653735777861229</v>
      </c>
      <c r="P62" s="310">
        <f t="shared" ca="1" si="18"/>
        <v>5</v>
      </c>
      <c r="Q62" s="304">
        <f t="shared" ca="1" si="19"/>
        <v>1031.5</v>
      </c>
      <c r="R62" s="306">
        <f t="shared" ca="1" si="20"/>
        <v>0.51671162709778762</v>
      </c>
      <c r="S62" s="307">
        <f t="shared" ca="1" si="21"/>
        <v>12.21233500230519</v>
      </c>
      <c r="T62" s="304">
        <f t="shared" ca="1" si="1"/>
        <v>119.80300637261392</v>
      </c>
      <c r="U62" s="311">
        <f t="shared" ca="1" si="2"/>
        <v>0</v>
      </c>
      <c r="V62" s="306">
        <f t="shared" ca="1" si="3"/>
        <v>1.2235441630046813</v>
      </c>
      <c r="W62" s="304">
        <f t="shared" ca="1" si="4"/>
        <v>9.1586833808781822</v>
      </c>
      <c r="Y62" s="314" t="str">
        <f t="shared" ca="1" si="22"/>
        <v/>
      </c>
      <c r="Z62" s="315" t="str">
        <f t="shared" ca="1" si="23"/>
        <v/>
      </c>
      <c r="AA62" s="316" t="str">
        <f t="shared" ca="1" si="24"/>
        <v/>
      </c>
      <c r="AC62" s="310" t="e">
        <f t="shared" ca="1" si="25"/>
        <v>#N/A</v>
      </c>
      <c r="AD62" s="323" t="e">
        <f t="shared" ca="1" si="26"/>
        <v>#N/A</v>
      </c>
      <c r="AE62" s="324">
        <f t="shared" ca="1" si="5"/>
        <v>11.891449762802267</v>
      </c>
      <c r="AG62" s="306">
        <f t="shared" ca="1" si="27"/>
        <v>73.972193529205768</v>
      </c>
      <c r="AH62" s="304">
        <f t="shared" ca="1" si="28"/>
        <v>83.739714135274269</v>
      </c>
    </row>
    <row r="63" spans="1:34" x14ac:dyDescent="0.25">
      <c r="A63" s="347">
        <f t="shared" ca="1" si="6"/>
        <v>0.01</v>
      </c>
      <c r="B63" s="304">
        <f t="shared" ca="1" si="7"/>
        <v>0.5900000000000003</v>
      </c>
      <c r="D63" s="306">
        <f t="shared" ca="1" si="8"/>
        <v>7.8007561050720238</v>
      </c>
      <c r="E63" s="307">
        <f t="shared" ca="1" si="9"/>
        <v>73.547737188110546</v>
      </c>
      <c r="F63" s="304">
        <f t="shared" ca="1" si="10"/>
        <v>73.960269343088498</v>
      </c>
      <c r="G63" s="306">
        <f t="shared" ca="1" si="11"/>
        <v>4.0322204159237289</v>
      </c>
      <c r="H63" s="307">
        <f t="shared" ca="1" si="12"/>
        <v>42.989616778705823</v>
      </c>
      <c r="I63" s="304">
        <f t="shared" ca="1" si="13"/>
        <v>43.178304184654792</v>
      </c>
      <c r="J63" s="306">
        <f t="shared" ca="1" si="14"/>
        <v>1.1076292561513594</v>
      </c>
      <c r="K63" s="307">
        <f t="shared" ca="1" si="15"/>
        <v>12.317668543729919</v>
      </c>
      <c r="L63" s="304">
        <f t="shared" ca="1" si="0"/>
        <v>12.367368391144334</v>
      </c>
      <c r="M63" s="306">
        <f t="shared" ca="1" si="16"/>
        <v>1.4772747232057257</v>
      </c>
      <c r="N63" s="304">
        <f t="shared" ca="1" si="17"/>
        <v>84.641606821044974</v>
      </c>
      <c r="P63" s="310">
        <f t="shared" ca="1" si="18"/>
        <v>5</v>
      </c>
      <c r="Q63" s="304">
        <f t="shared" ca="1" si="19"/>
        <v>1031.1666666666667</v>
      </c>
      <c r="R63" s="306">
        <f t="shared" ca="1" si="20"/>
        <v>0.51654464967749436</v>
      </c>
      <c r="S63" s="307">
        <f t="shared" ca="1" si="21"/>
        <v>12.207169555808415</v>
      </c>
      <c r="T63" s="304">
        <f t="shared" ca="1" si="1"/>
        <v>119.75233334248055</v>
      </c>
      <c r="U63" s="311">
        <f t="shared" ca="1" si="2"/>
        <v>0</v>
      </c>
      <c r="V63" s="306">
        <f t="shared" ca="1" si="3"/>
        <v>1.2234920143467656</v>
      </c>
      <c r="W63" s="304">
        <f t="shared" ca="1" si="4"/>
        <v>9.4802630416318792</v>
      </c>
      <c r="Y63" s="314" t="str">
        <f t="shared" ca="1" si="22"/>
        <v/>
      </c>
      <c r="Z63" s="315" t="str">
        <f t="shared" ca="1" si="23"/>
        <v/>
      </c>
      <c r="AA63" s="316" t="str">
        <f t="shared" ca="1" si="24"/>
        <v/>
      </c>
      <c r="AC63" s="310" t="e">
        <f t="shared" ca="1" si="25"/>
        <v>#N/A</v>
      </c>
      <c r="AD63" s="323" t="e">
        <f t="shared" ca="1" si="26"/>
        <v>#N/A</v>
      </c>
      <c r="AE63" s="324">
        <f t="shared" ca="1" si="5"/>
        <v>12.317668543729919</v>
      </c>
      <c r="AG63" s="306">
        <f t="shared" ca="1" si="27"/>
        <v>73.954621002250434</v>
      </c>
      <c r="AH63" s="304">
        <f t="shared" ca="1" si="28"/>
        <v>83.721945420140145</v>
      </c>
    </row>
    <row r="64" spans="1:34" x14ac:dyDescent="0.25">
      <c r="A64" s="347">
        <f t="shared" ca="1" si="6"/>
        <v>0.01</v>
      </c>
      <c r="B64" s="304">
        <f t="shared" ca="1" si="7"/>
        <v>0.60000000000000031</v>
      </c>
      <c r="D64" s="306">
        <f t="shared" ca="1" si="8"/>
        <v>7.8166983938479531</v>
      </c>
      <c r="E64" s="307">
        <f t="shared" ca="1" si="9"/>
        <v>73.527921483458186</v>
      </c>
      <c r="F64" s="304">
        <f t="shared" ca="1" si="10"/>
        <v>73.942247811775218</v>
      </c>
      <c r="G64" s="306">
        <f t="shared" ca="1" si="11"/>
        <v>4.1103873998622085</v>
      </c>
      <c r="H64" s="307">
        <f t="shared" ca="1" si="12"/>
        <v>43.724895993540407</v>
      </c>
      <c r="I64" s="304">
        <f t="shared" ca="1" si="13"/>
        <v>43.917670865186736</v>
      </c>
      <c r="J64" s="306">
        <f t="shared" ca="1" si="14"/>
        <v>1.1483422952302891</v>
      </c>
      <c r="K64" s="307">
        <f t="shared" ca="1" si="15"/>
        <v>12.75124110759115</v>
      </c>
      <c r="L64" s="304">
        <f t="shared" ca="1" si="0"/>
        <v>12.80284498894434</v>
      </c>
      <c r="M64" s="306">
        <f t="shared" ca="1" si="16"/>
        <v>1.4770661260446438</v>
      </c>
      <c r="N64" s="304">
        <f t="shared" ca="1" si="17"/>
        <v>84.629655084096569</v>
      </c>
      <c r="P64" s="310">
        <f t="shared" ca="1" si="18"/>
        <v>5</v>
      </c>
      <c r="Q64" s="304">
        <f t="shared" ca="1" si="19"/>
        <v>1030.8333333333333</v>
      </c>
      <c r="R64" s="306">
        <f t="shared" ca="1" si="20"/>
        <v>0.51637767225720088</v>
      </c>
      <c r="S64" s="307">
        <f t="shared" ca="1" si="21"/>
        <v>12.202005779085843</v>
      </c>
      <c r="T64" s="304">
        <f t="shared" ca="1" si="1"/>
        <v>119.70167669283212</v>
      </c>
      <c r="U64" s="311">
        <f t="shared" ca="1" si="2"/>
        <v>0</v>
      </c>
      <c r="V64" s="306">
        <f t="shared" ca="1" si="3"/>
        <v>1.223438968218951</v>
      </c>
      <c r="W64" s="304">
        <f t="shared" ca="1" si="4"/>
        <v>9.8072894666403556</v>
      </c>
      <c r="Y64" s="314" t="str">
        <f t="shared" ca="1" si="22"/>
        <v/>
      </c>
      <c r="Z64" s="315" t="str">
        <f t="shared" ca="1" si="23"/>
        <v/>
      </c>
      <c r="AA64" s="316" t="str">
        <f t="shared" ca="1" si="24"/>
        <v/>
      </c>
      <c r="AC64" s="310" t="e">
        <f t="shared" ca="1" si="25"/>
        <v>#N/A</v>
      </c>
      <c r="AD64" s="323" t="e">
        <f t="shared" ca="1" si="26"/>
        <v>#N/A</v>
      </c>
      <c r="AE64" s="324">
        <f t="shared" ca="1" si="5"/>
        <v>12.75124110759115</v>
      </c>
      <c r="AG64" s="306">
        <f t="shared" ca="1" si="27"/>
        <v>73.936572504206936</v>
      </c>
      <c r="AH64" s="304">
        <f t="shared" ca="1" si="28"/>
        <v>83.703703209376755</v>
      </c>
    </row>
    <row r="65" spans="1:34" x14ac:dyDescent="0.25">
      <c r="A65" s="347">
        <f t="shared" ca="1" si="6"/>
        <v>0.01</v>
      </c>
      <c r="B65" s="304">
        <f t="shared" ca="1" si="7"/>
        <v>0.61000000000000032</v>
      </c>
      <c r="D65" s="306">
        <f t="shared" ca="1" si="8"/>
        <v>7.8323306199826481</v>
      </c>
      <c r="E65" s="307">
        <f t="shared" ca="1" si="9"/>
        <v>73.50765559549049</v>
      </c>
      <c r="F65" s="304">
        <f t="shared" ca="1" si="10"/>
        <v>73.92375013543321</v>
      </c>
      <c r="G65" s="306">
        <f t="shared" ca="1" si="11"/>
        <v>4.188710706062035</v>
      </c>
      <c r="H65" s="307">
        <f t="shared" ca="1" si="12"/>
        <v>44.459972549495312</v>
      </c>
      <c r="I65" s="304">
        <f t="shared" ca="1" si="13"/>
        <v>44.656852290336758</v>
      </c>
      <c r="J65" s="306">
        <f t="shared" ca="1" si="14"/>
        <v>1.1898377857599103</v>
      </c>
      <c r="K65" s="307">
        <f t="shared" ca="1" si="15"/>
        <v>13.192165450306328</v>
      </c>
      <c r="L65" s="304">
        <f t="shared" ca="1" si="0"/>
        <v>13.245714145514315</v>
      </c>
      <c r="M65" s="306">
        <f t="shared" ca="1" si="16"/>
        <v>1.4768605254537139</v>
      </c>
      <c r="N65" s="304">
        <f t="shared" ca="1" si="17"/>
        <v>84.617875037970904</v>
      </c>
      <c r="P65" s="310">
        <f t="shared" ca="1" si="18"/>
        <v>5</v>
      </c>
      <c r="Q65" s="304">
        <f t="shared" ca="1" si="19"/>
        <v>1030.5</v>
      </c>
      <c r="R65" s="306">
        <f t="shared" ca="1" si="20"/>
        <v>0.51621069483690762</v>
      </c>
      <c r="S65" s="307">
        <f t="shared" ca="1" si="21"/>
        <v>12.196843672137474</v>
      </c>
      <c r="T65" s="304">
        <f t="shared" ca="1" si="1"/>
        <v>119.65103642366863</v>
      </c>
      <c r="U65" s="311">
        <f t="shared" ca="1" si="2"/>
        <v>0</v>
      </c>
      <c r="V65" s="306">
        <f t="shared" ca="1" si="3"/>
        <v>1.2233850249832185</v>
      </c>
      <c r="W65" s="304">
        <f t="shared" ca="1" si="4"/>
        <v>10.139754993143828</v>
      </c>
      <c r="Y65" s="314" t="str">
        <f t="shared" ca="1" si="22"/>
        <v/>
      </c>
      <c r="Z65" s="315" t="str">
        <f t="shared" ca="1" si="23"/>
        <v/>
      </c>
      <c r="AA65" s="316" t="str">
        <f t="shared" ca="1" si="24"/>
        <v/>
      </c>
      <c r="AC65" s="310" t="e">
        <f t="shared" ca="1" si="25"/>
        <v>#N/A</v>
      </c>
      <c r="AD65" s="323" t="e">
        <f t="shared" ca="1" si="26"/>
        <v>#N/A</v>
      </c>
      <c r="AE65" s="324">
        <f t="shared" ca="1" si="5"/>
        <v>13.192165450306328</v>
      </c>
      <c r="AG65" s="306">
        <f t="shared" ca="1" si="27"/>
        <v>73.918048129165939</v>
      </c>
      <c r="AH65" s="304">
        <f t="shared" ca="1" si="28"/>
        <v>83.684987523865274</v>
      </c>
    </row>
    <row r="66" spans="1:34" x14ac:dyDescent="0.25">
      <c r="A66" s="347">
        <f t="shared" ca="1" si="6"/>
        <v>0.01</v>
      </c>
      <c r="B66" s="304">
        <f t="shared" ca="1" si="7"/>
        <v>0.62000000000000033</v>
      </c>
      <c r="D66" s="306">
        <f t="shared" ca="1" si="8"/>
        <v>7.8476607174217525</v>
      </c>
      <c r="E66" s="307">
        <f t="shared" ca="1" si="9"/>
        <v>73.486938976801426</v>
      </c>
      <c r="F66" s="304">
        <f t="shared" ca="1" si="10"/>
        <v>73.904776428292521</v>
      </c>
      <c r="G66" s="306">
        <f t="shared" ca="1" si="11"/>
        <v>4.2671873132362528</v>
      </c>
      <c r="H66" s="307">
        <f t="shared" ca="1" si="12"/>
        <v>45.194841939263327</v>
      </c>
      <c r="I66" s="304">
        <f t="shared" ca="1" si="13"/>
        <v>45.395843702714018</v>
      </c>
      <c r="J66" s="306">
        <f t="shared" ca="1" si="14"/>
        <v>1.2321172758564016</v>
      </c>
      <c r="K66" s="307">
        <f t="shared" ca="1" si="15"/>
        <v>13.640439522750121</v>
      </c>
      <c r="L66" s="304">
        <f t="shared" ca="1" si="0"/>
        <v>13.695973983447374</v>
      </c>
      <c r="M66" s="306">
        <f t="shared" ca="1" si="16"/>
        <v>1.4766578294542858</v>
      </c>
      <c r="N66" s="304">
        <f t="shared" ca="1" si="17"/>
        <v>84.606261412679473</v>
      </c>
      <c r="P66" s="310">
        <f t="shared" ca="1" si="18"/>
        <v>5</v>
      </c>
      <c r="Q66" s="304">
        <f t="shared" ca="1" si="19"/>
        <v>1030.1666666666667</v>
      </c>
      <c r="R66" s="306">
        <f t="shared" ca="1" si="20"/>
        <v>0.51604371741661426</v>
      </c>
      <c r="S66" s="307">
        <f t="shared" ca="1" si="21"/>
        <v>12.191683234963309</v>
      </c>
      <c r="T66" s="304">
        <f t="shared" ca="1" si="1"/>
        <v>119.60041253499007</v>
      </c>
      <c r="U66" s="311">
        <f t="shared" ca="1" si="2"/>
        <v>0</v>
      </c>
      <c r="V66" s="306">
        <f t="shared" ca="1" si="3"/>
        <v>1.2233301850089831</v>
      </c>
      <c r="W66" s="304">
        <f t="shared" ca="1" si="4"/>
        <v>10.477651794277879</v>
      </c>
      <c r="Y66" s="314" t="str">
        <f t="shared" ca="1" si="22"/>
        <v/>
      </c>
      <c r="Z66" s="315" t="str">
        <f t="shared" ca="1" si="23"/>
        <v/>
      </c>
      <c r="AA66" s="316" t="str">
        <f t="shared" ca="1" si="24"/>
        <v/>
      </c>
      <c r="AC66" s="310" t="e">
        <f t="shared" ca="1" si="25"/>
        <v>#N/A</v>
      </c>
      <c r="AD66" s="323" t="e">
        <f t="shared" ca="1" si="26"/>
        <v>#N/A</v>
      </c>
      <c r="AE66" s="324">
        <f t="shared" ca="1" si="5"/>
        <v>13.640439522750121</v>
      </c>
      <c r="AG66" s="306">
        <f t="shared" ca="1" si="27"/>
        <v>73.899047981797409</v>
      </c>
      <c r="AH66" s="304">
        <f t="shared" ca="1" si="28"/>
        <v>83.66579839839423</v>
      </c>
    </row>
    <row r="67" spans="1:34" x14ac:dyDescent="0.25">
      <c r="A67" s="347">
        <f t="shared" ca="1" si="6"/>
        <v>0.01</v>
      </c>
      <c r="B67" s="304">
        <f t="shared" ca="1" si="7"/>
        <v>0.63000000000000034</v>
      </c>
      <c r="D67" s="306">
        <f t="shared" ca="1" si="8"/>
        <v>7.8626962453424536</v>
      </c>
      <c r="E67" s="307">
        <f t="shared" ca="1" si="9"/>
        <v>73.465771120342509</v>
      </c>
      <c r="F67" s="304">
        <f t="shared" ca="1" si="10"/>
        <v>73.885326814957466</v>
      </c>
      <c r="G67" s="306">
        <f t="shared" ca="1" si="11"/>
        <v>4.3458142756896772</v>
      </c>
      <c r="H67" s="307">
        <f t="shared" ca="1" si="12"/>
        <v>45.929499650466752</v>
      </c>
      <c r="I67" s="304">
        <f t="shared" ca="1" si="13"/>
        <v>46.134640346067656</v>
      </c>
      <c r="J67" s="306">
        <f t="shared" ca="1" si="14"/>
        <v>1.2751822838010314</v>
      </c>
      <c r="K67" s="307">
        <f t="shared" ca="1" si="15"/>
        <v>14.096061230698771</v>
      </c>
      <c r="L67" s="304">
        <f t="shared" ca="1" si="0"/>
        <v>14.153622577860727</v>
      </c>
      <c r="M67" s="306">
        <f t="shared" ca="1" si="16"/>
        <v>1.4764579503079083</v>
      </c>
      <c r="N67" s="304">
        <f t="shared" ca="1" si="17"/>
        <v>84.594809181179372</v>
      </c>
      <c r="P67" s="310">
        <f t="shared" ca="1" si="18"/>
        <v>5</v>
      </c>
      <c r="Q67" s="304">
        <f t="shared" ca="1" si="19"/>
        <v>1029.8333333333333</v>
      </c>
      <c r="R67" s="306">
        <f t="shared" ca="1" si="20"/>
        <v>0.51587673999632078</v>
      </c>
      <c r="S67" s="307">
        <f t="shared" ca="1" si="21"/>
        <v>12.186524467563345</v>
      </c>
      <c r="T67" s="304">
        <f t="shared" ca="1" si="1"/>
        <v>119.54980502679642</v>
      </c>
      <c r="U67" s="311">
        <f t="shared" ca="1" si="2"/>
        <v>0</v>
      </c>
      <c r="V67" s="306">
        <f t="shared" ca="1" si="3"/>
        <v>1.2232744486730973</v>
      </c>
      <c r="W67" s="304">
        <f t="shared" ca="1" si="4"/>
        <v>10.820971879358627</v>
      </c>
      <c r="Y67" s="314" t="str">
        <f t="shared" ca="1" si="22"/>
        <v/>
      </c>
      <c r="Z67" s="315" t="str">
        <f t="shared" ca="1" si="23"/>
        <v/>
      </c>
      <c r="AA67" s="316" t="str">
        <f t="shared" ca="1" si="24"/>
        <v/>
      </c>
      <c r="AC67" s="310" t="e">
        <f t="shared" ca="1" si="25"/>
        <v>#N/A</v>
      </c>
      <c r="AD67" s="323" t="e">
        <f t="shared" ca="1" si="26"/>
        <v>#N/A</v>
      </c>
      <c r="AE67" s="324">
        <f t="shared" ca="1" si="5"/>
        <v>14.096061230698771</v>
      </c>
      <c r="AG67" s="306">
        <f t="shared" ca="1" si="27"/>
        <v>73.87957217756086</v>
      </c>
      <c r="AH67" s="304">
        <f t="shared" ca="1" si="28"/>
        <v>83.646135881666368</v>
      </c>
    </row>
    <row r="68" spans="1:34" x14ac:dyDescent="0.25">
      <c r="A68" s="347">
        <f t="shared" ca="1" si="6"/>
        <v>0.01</v>
      </c>
      <c r="B68" s="304">
        <f t="shared" ca="1" si="7"/>
        <v>0.64000000000000035</v>
      </c>
      <c r="D68" s="306">
        <f t="shared" ca="1" si="8"/>
        <v>7.8774444116280113</v>
      </c>
      <c r="E68" s="307">
        <f t="shared" ca="1" si="9"/>
        <v>73.444151557827709</v>
      </c>
      <c r="F68" s="304">
        <f t="shared" ca="1" si="10"/>
        <v>73.865401430625525</v>
      </c>
      <c r="G68" s="306">
        <f t="shared" ca="1" si="11"/>
        <v>4.424588719805957</v>
      </c>
      <c r="H68" s="307">
        <f t="shared" ca="1" si="12"/>
        <v>46.663941166045028</v>
      </c>
      <c r="I68" s="304">
        <f t="shared" ca="1" si="13"/>
        <v>46.873237465397516</v>
      </c>
      <c r="J68" s="306">
        <f t="shared" ca="1" si="14"/>
        <v>1.3190342987785095</v>
      </c>
      <c r="K68" s="307">
        <f t="shared" ca="1" si="15"/>
        <v>14.559028434781331</v>
      </c>
      <c r="L68" s="304">
        <f t="shared" ref="L68:L131" ca="1" si="29">SQRT(pos_x^2+pos_z^2)</f>
        <v>14.618657956396868</v>
      </c>
      <c r="M68" s="306">
        <f t="shared" ca="1" si="16"/>
        <v>1.4762608042567975</v>
      </c>
      <c r="N68" s="304">
        <f t="shared" ca="1" si="17"/>
        <v>84.583513544503049</v>
      </c>
      <c r="P68" s="310">
        <f t="shared" ca="1" si="18"/>
        <v>5</v>
      </c>
      <c r="Q68" s="304">
        <f t="shared" ca="1" si="19"/>
        <v>1029.5</v>
      </c>
      <c r="R68" s="306">
        <f t="shared" ca="1" si="20"/>
        <v>0.51570976257602752</v>
      </c>
      <c r="S68" s="307">
        <f t="shared" ca="1" si="21"/>
        <v>12.181367369937584</v>
      </c>
      <c r="T68" s="304">
        <f t="shared" ref="T68:T131" ca="1" si="30">m*g</f>
        <v>119.49921389908771</v>
      </c>
      <c r="U68" s="311">
        <f t="shared" ref="U68:U131" ca="1" si="31">IF(pos_xz&lt;L_rampe,Poids*COS(Beta),0)</f>
        <v>0</v>
      </c>
      <c r="V68" s="306">
        <f t="shared" ref="V68:V131" ca="1" si="32">Rho_moyen*(20000-Alt_rampe-pos_z)/(20000+Alt_rampe+pos_z)</f>
        <v>1.2232178163598539</v>
      </c>
      <c r="W68" s="304">
        <f t="shared" ref="W68:W131" ca="1" si="33">1/2*Rho*Sref*Cx*vit_xz^2</f>
        <v>11.169707094177959</v>
      </c>
      <c r="Y68" s="314" t="str">
        <f t="shared" ca="1" si="22"/>
        <v/>
      </c>
      <c r="Z68" s="315" t="str">
        <f t="shared" ca="1" si="23"/>
        <v/>
      </c>
      <c r="AA68" s="316" t="str">
        <f t="shared" ca="1" si="24"/>
        <v/>
      </c>
      <c r="AC68" s="310" t="e">
        <f t="shared" ca="1" si="25"/>
        <v>#N/A</v>
      </c>
      <c r="AD68" s="323" t="e">
        <f t="shared" ca="1" si="26"/>
        <v>#N/A</v>
      </c>
      <c r="AE68" s="324">
        <f t="shared" ref="AE68:AE131" ca="1" si="34">IF(t&lt;T_para, pos_z, NA())</f>
        <v>14.559028434781331</v>
      </c>
      <c r="AG68" s="306">
        <f t="shared" ca="1" si="27"/>
        <v>73.859620842899247</v>
      </c>
      <c r="AH68" s="304">
        <f t="shared" ca="1" si="28"/>
        <v>83.626000036304703</v>
      </c>
    </row>
    <row r="69" spans="1:34" x14ac:dyDescent="0.25">
      <c r="A69" s="347">
        <f t="shared" ref="A69:A132" ca="1" si="35">IF(B68+0.01&lt;=T_ini+ROUNDUP(Temps_fin_propu,0), 0.01, IF(K68&gt;0, 0.1, 0.0001))</f>
        <v>0.01</v>
      </c>
      <c r="B69" s="304">
        <f t="shared" ref="B69:B132" ca="1" si="36">B68+pas</f>
        <v>0.65000000000000036</v>
      </c>
      <c r="D69" s="306">
        <f t="shared" ref="D69:D132" ca="1" si="37">IF(AND(L68&lt;L_rampe,Poussee&lt;Poids*SIN(M68)),0,(-W68+Poussee)/m*COS(M68)-U68/m*SIN(M68))</f>
        <v>7.8919120945318975</v>
      </c>
      <c r="E69" s="307">
        <f t="shared" ref="E69:E132" ca="1" si="38">IF(AND(L68&lt;L_rampe,Poussee&lt;Poids*SIN(M68)),0,(-W68+Poussee)/m*SIN(M68)+U68/m*COS(M68)-Poids/m)</f>
        <v>73.422079858257732</v>
      </c>
      <c r="F69" s="304">
        <f t="shared" ref="F69:F132" ca="1" si="39">SQRT(acc_x^2+acc_z^2)</f>
        <v>73.845000421289143</v>
      </c>
      <c r="G69" s="306">
        <f t="shared" ref="G69:G132" ca="1" si="40">G68+acc_x*pas</f>
        <v>4.5035078407512756</v>
      </c>
      <c r="H69" s="307">
        <f t="shared" ref="H69:H132" ca="1" si="41">H68+acc_z*pas</f>
        <v>47.398161964627604</v>
      </c>
      <c r="I69" s="304">
        <f t="shared" ref="I69:I132" ca="1" si="42">SQRT(vit_x^2+vit_z^2)</f>
        <v>47.611630307066562</v>
      </c>
      <c r="J69" s="306">
        <f t="shared" ref="J69:J132" ca="1" si="43">J68+0.5*(vit_x+G68)*pas*(K68&gt;=0)</f>
        <v>1.3636747815812957</v>
      </c>
      <c r="K69" s="307">
        <f t="shared" ref="K69:K132" ca="1" si="44">K68+0.5*(vit_z+H68)*pas</f>
        <v>15.029338950434694</v>
      </c>
      <c r="L69" s="304">
        <f t="shared" ca="1" si="29"/>
        <v>15.091078099227181</v>
      </c>
      <c r="M69" s="306">
        <f t="shared" ref="M69:M132" ca="1" si="45">IF(AND(L68&gt;L_rampe,G69&gt;0),ATAN2(G69,H69),$M$4)</f>
        <v>1.476066311283986</v>
      </c>
      <c r="N69" s="304">
        <f t="shared" ref="N69:N132" ca="1" si="46">DEGREES(Beta)</f>
        <v>84.572369918015994</v>
      </c>
      <c r="P69" s="310">
        <f t="shared" ref="P69:P132" ca="1" si="47">MATCH(t-pas/2-T_ini,CdP_t)</f>
        <v>5</v>
      </c>
      <c r="Q69" s="304">
        <f t="shared" ref="Q69:Q132" ca="1" si="48">(INDEX(CdP,2,i_P+1)-INDEX(CdP,2,i_P+0))/(INDEX(CdP,1,i_P+1)-INDEX(CdP,1,i_P+0))*(t-pas/2-T_ini-INDEX(CdP,1,i_P+0))+INDEX(CdP,2,i_P+0)</f>
        <v>1029.1666666666667</v>
      </c>
      <c r="R69" s="306">
        <f t="shared" ref="R69:R132" ca="1" si="49">Poussee/(g*ISP)</f>
        <v>0.51554278515573415</v>
      </c>
      <c r="S69" s="307">
        <f t="shared" ref="S69:S132" ca="1" si="50">S68-Débit*pas</f>
        <v>12.176211942086027</v>
      </c>
      <c r="T69" s="304">
        <f t="shared" ca="1" si="30"/>
        <v>119.44863915186393</v>
      </c>
      <c r="U69" s="311">
        <f t="shared" ca="1" si="31"/>
        <v>0</v>
      </c>
      <c r="V69" s="306">
        <f t="shared" ca="1" si="32"/>
        <v>1.2231602884609867</v>
      </c>
      <c r="W69" s="304">
        <f t="shared" ca="1" si="33"/>
        <v>11.523849121308752</v>
      </c>
      <c r="Y69" s="314" t="str">
        <f t="shared" ref="Y69:Y132" ca="1" si="51">IF(AND(pos_z&lt;=0,K68&gt;0),"Impact balistique","") &amp; IF(AND(H70&lt;0,vit_z&gt;=0),"Apogée","") &amp; IF(AND(Poussee=0,Q68&gt;0),"Fin de propulsion","") &amp; IF(AND(L70&gt;L_rampe,pos_xz&lt;=L_rampe),"Sortie de rampe","")</f>
        <v/>
      </c>
      <c r="Z69" s="315" t="str">
        <f t="shared" ref="Z69:Z132" ca="1" si="52">IF(ABS(t-T_para)&lt;pas/2,"Para","")</f>
        <v/>
      </c>
      <c r="AA69" s="316" t="str">
        <f t="shared" ref="AA69:AA132" ca="1" si="53">IF(ABS(t-T_satellite)&lt;pas/2,"Satellite","")</f>
        <v/>
      </c>
      <c r="AC69" s="310" t="e">
        <f t="shared" ref="AC69:AC132" ca="1" si="54">IF(ABS(t-ROUND(t,0))&lt;0.001,t,NA())</f>
        <v>#N/A</v>
      </c>
      <c r="AD69" s="323" t="e">
        <f t="shared" ref="AD69:AD132" ca="1" si="55">IF(ABS(t-ROUND(t,0))&lt;0.001,pos_x,NA())</f>
        <v>#N/A</v>
      </c>
      <c r="AE69" s="324">
        <f t="shared" ca="1" si="34"/>
        <v>15.029338950434694</v>
      </c>
      <c r="AG69" s="306">
        <f t="shared" ref="AG69:AG132" ca="1" si="56">IF(AND(L68&lt;L_rampe,Poussee&lt;Poids*SIN(M68)),0,(-W68+Poussee)/m-Poids*SIN(M68)/m)</f>
        <v>73.839194115417854</v>
      </c>
      <c r="AH69" s="304">
        <f t="shared" ref="AH69:AH132" ca="1" si="57">IF(AND(L68&lt;L_rampe,Poussee&lt;Poids*SIN(M68)), g*SIN(M68), (-W68+Poussee)/m)</f>
        <v>83.605390938857596</v>
      </c>
    </row>
    <row r="70" spans="1:34" x14ac:dyDescent="0.25">
      <c r="A70" s="347">
        <f t="shared" ca="1" si="35"/>
        <v>0.01</v>
      </c>
      <c r="B70" s="304">
        <f t="shared" ca="1" si="36"/>
        <v>0.66000000000000036</v>
      </c>
      <c r="D70" s="306">
        <f t="shared" ca="1" si="37"/>
        <v>7.9061058626971494</v>
      </c>
      <c r="E70" s="307">
        <f t="shared" ca="1" si="38"/>
        <v>73.399555626553067</v>
      </c>
      <c r="F70" s="304">
        <f t="shared" ca="1" si="39"/>
        <v>73.824123943922501</v>
      </c>
      <c r="G70" s="306">
        <f t="shared" ca="1" si="40"/>
        <v>4.5825688993782467</v>
      </c>
      <c r="H70" s="307">
        <f t="shared" ca="1" si="41"/>
        <v>48.132157520893138</v>
      </c>
      <c r="I70" s="304">
        <f t="shared" ca="1" si="42"/>
        <v>48.349814118914857</v>
      </c>
      <c r="J70" s="306">
        <f t="shared" ca="1" si="43"/>
        <v>1.4091051652819433</v>
      </c>
      <c r="K70" s="307">
        <f t="shared" ca="1" si="44"/>
        <v>15.506990547862298</v>
      </c>
      <c r="L70" s="304">
        <f t="shared" ca="1" si="29"/>
        <v>15.570880939057846</v>
      </c>
      <c r="M70" s="306">
        <f t="shared" ca="1" si="45"/>
        <v>1.4758743948913844</v>
      </c>
      <c r="N70" s="304">
        <f t="shared" ca="1" si="46"/>
        <v>84.561373918700554</v>
      </c>
      <c r="P70" s="310">
        <f t="shared" ca="1" si="47"/>
        <v>5</v>
      </c>
      <c r="Q70" s="304">
        <f t="shared" ca="1" si="48"/>
        <v>1028.8333333333333</v>
      </c>
      <c r="R70" s="306">
        <f t="shared" ca="1" si="49"/>
        <v>0.51537580773544078</v>
      </c>
      <c r="S70" s="307">
        <f t="shared" ca="1" si="50"/>
        <v>12.171058184008674</v>
      </c>
      <c r="T70" s="304">
        <f t="shared" ca="1" si="30"/>
        <v>119.39808078512509</v>
      </c>
      <c r="U70" s="311">
        <f t="shared" ca="1" si="31"/>
        <v>0</v>
      </c>
      <c r="V70" s="306">
        <f t="shared" ca="1" si="32"/>
        <v>1.2231018653756707</v>
      </c>
      <c r="W70" s="304">
        <f t="shared" ca="1" si="33"/>
        <v>11.883389480420151</v>
      </c>
      <c r="Y70" s="314" t="str">
        <f t="shared" ca="1" si="51"/>
        <v/>
      </c>
      <c r="Z70" s="315" t="str">
        <f t="shared" ca="1" si="52"/>
        <v/>
      </c>
      <c r="AA70" s="316" t="str">
        <f t="shared" ca="1" si="53"/>
        <v/>
      </c>
      <c r="AC70" s="310" t="e">
        <f t="shared" ca="1" si="54"/>
        <v>#N/A</v>
      </c>
      <c r="AD70" s="323" t="e">
        <f t="shared" ca="1" si="55"/>
        <v>#N/A</v>
      </c>
      <c r="AE70" s="324">
        <f t="shared" ca="1" si="34"/>
        <v>15.506990547862298</v>
      </c>
      <c r="AG70" s="306">
        <f t="shared" ca="1" si="56"/>
        <v>73.818292144049522</v>
      </c>
      <c r="AH70" s="304">
        <f t="shared" ca="1" si="57"/>
        <v>83.584308679803073</v>
      </c>
    </row>
    <row r="71" spans="1:34" x14ac:dyDescent="0.25">
      <c r="A71" s="347">
        <f t="shared" ca="1" si="35"/>
        <v>0.01</v>
      </c>
      <c r="B71" s="304">
        <f t="shared" ca="1" si="36"/>
        <v>0.67000000000000037</v>
      </c>
      <c r="D71" s="306">
        <f t="shared" ca="1" si="37"/>
        <v>7.9200319936788297</v>
      </c>
      <c r="E71" s="307">
        <f t="shared" ca="1" si="38"/>
        <v>73.376578502286037</v>
      </c>
      <c r="F71" s="304">
        <f t="shared" ca="1" si="39"/>
        <v>73.802772166654023</v>
      </c>
      <c r="G71" s="306">
        <f t="shared" ca="1" si="40"/>
        <v>4.6617692193150351</v>
      </c>
      <c r="H71" s="307">
        <f t="shared" ca="1" si="41"/>
        <v>48.865923305915999</v>
      </c>
      <c r="I71" s="304">
        <f t="shared" ca="1" si="42"/>
        <v>49.087784150375107</v>
      </c>
      <c r="J71" s="306">
        <f t="shared" ca="1" si="43"/>
        <v>1.4553268558754098</v>
      </c>
      <c r="K71" s="307">
        <f t="shared" ca="1" si="44"/>
        <v>15.991980951996343</v>
      </c>
      <c r="L71" s="304">
        <f t="shared" ca="1" si="29"/>
        <v>16.058064361137866</v>
      </c>
      <c r="M71" s="306">
        <f t="shared" ca="1" si="45"/>
        <v>1.4756849818941618</v>
      </c>
      <c r="N71" s="304">
        <f t="shared" ca="1" si="46"/>
        <v>84.550521353374776</v>
      </c>
      <c r="P71" s="310">
        <f t="shared" ca="1" si="47"/>
        <v>5</v>
      </c>
      <c r="Q71" s="304">
        <f t="shared" ca="1" si="48"/>
        <v>1028.5</v>
      </c>
      <c r="R71" s="306">
        <f t="shared" ca="1" si="49"/>
        <v>0.51520883031514741</v>
      </c>
      <c r="S71" s="307">
        <f t="shared" ca="1" si="50"/>
        <v>12.165906095705521</v>
      </c>
      <c r="T71" s="304">
        <f t="shared" ca="1" si="30"/>
        <v>119.34753879887117</v>
      </c>
      <c r="U71" s="311">
        <f t="shared" ca="1" si="31"/>
        <v>0</v>
      </c>
      <c r="V71" s="306">
        <f t="shared" ca="1" si="32"/>
        <v>1.2230425475105269</v>
      </c>
      <c r="W71" s="304">
        <f t="shared" ca="1" si="33"/>
        <v>12.248319528602996</v>
      </c>
      <c r="Y71" s="314" t="str">
        <f t="shared" ca="1" si="51"/>
        <v/>
      </c>
      <c r="Z71" s="315" t="str">
        <f t="shared" ca="1" si="52"/>
        <v/>
      </c>
      <c r="AA71" s="316" t="str">
        <f t="shared" ca="1" si="53"/>
        <v/>
      </c>
      <c r="AC71" s="310" t="e">
        <f t="shared" ca="1" si="54"/>
        <v>#N/A</v>
      </c>
      <c r="AD71" s="323" t="e">
        <f t="shared" ca="1" si="55"/>
        <v>#N/A</v>
      </c>
      <c r="AE71" s="324">
        <f t="shared" ca="1" si="34"/>
        <v>15.991980951996343</v>
      </c>
      <c r="AG71" s="306">
        <f t="shared" ca="1" si="56"/>
        <v>73.796915089207516</v>
      </c>
      <c r="AH71" s="304">
        <f t="shared" ca="1" si="57"/>
        <v>83.562753363552446</v>
      </c>
    </row>
    <row r="72" spans="1:34" x14ac:dyDescent="0.25">
      <c r="A72" s="347">
        <f t="shared" ca="1" si="35"/>
        <v>0.01</v>
      </c>
      <c r="B72" s="304">
        <f t="shared" ca="1" si="36"/>
        <v>0.68000000000000038</v>
      </c>
      <c r="D72" s="306">
        <f t="shared" ca="1" si="37"/>
        <v>7.9336964911028103</v>
      </c>
      <c r="E72" s="307">
        <f t="shared" ca="1" si="38"/>
        <v>73.353148158503018</v>
      </c>
      <c r="F72" s="304">
        <f t="shared" ca="1" si="39"/>
        <v>73.780945268925848</v>
      </c>
      <c r="G72" s="306">
        <f t="shared" ca="1" si="40"/>
        <v>4.7411061842260631</v>
      </c>
      <c r="H72" s="307">
        <f t="shared" ca="1" si="41"/>
        <v>49.599454787501031</v>
      </c>
      <c r="I72" s="304">
        <f t="shared" ca="1" si="42"/>
        <v>49.82553565258948</v>
      </c>
      <c r="J72" s="306">
        <f t="shared" ca="1" si="43"/>
        <v>1.5023412328931154</v>
      </c>
      <c r="K72" s="307">
        <f t="shared" ca="1" si="44"/>
        <v>16.484307842463426</v>
      </c>
      <c r="L72" s="304">
        <f t="shared" ca="1" si="29"/>
        <v>16.552626203269135</v>
      </c>
      <c r="M72" s="306">
        <f t="shared" ca="1" si="45"/>
        <v>1.4754980022300259</v>
      </c>
      <c r="N72" s="304">
        <f t="shared" ca="1" si="46"/>
        <v>84.53980820776502</v>
      </c>
      <c r="P72" s="310">
        <f t="shared" ca="1" si="47"/>
        <v>5</v>
      </c>
      <c r="Q72" s="304">
        <f t="shared" ca="1" si="48"/>
        <v>1028.1666666666667</v>
      </c>
      <c r="R72" s="306">
        <f t="shared" ca="1" si="49"/>
        <v>0.51504185289485416</v>
      </c>
      <c r="S72" s="307">
        <f t="shared" ca="1" si="50"/>
        <v>12.160755677176573</v>
      </c>
      <c r="T72" s="304">
        <f t="shared" ca="1" si="30"/>
        <v>119.29701319310219</v>
      </c>
      <c r="U72" s="311">
        <f t="shared" ca="1" si="31"/>
        <v>0</v>
      </c>
      <c r="V72" s="306">
        <f t="shared" ca="1" si="32"/>
        <v>1.222982335279617</v>
      </c>
      <c r="W72" s="304">
        <f t="shared" ca="1" si="33"/>
        <v>12.618630460705154</v>
      </c>
      <c r="Y72" s="314" t="str">
        <f t="shared" ca="1" si="51"/>
        <v/>
      </c>
      <c r="Z72" s="315" t="str">
        <f t="shared" ca="1" si="52"/>
        <v/>
      </c>
      <c r="AA72" s="316" t="str">
        <f t="shared" ca="1" si="53"/>
        <v/>
      </c>
      <c r="AC72" s="310" t="e">
        <f t="shared" ca="1" si="54"/>
        <v>#N/A</v>
      </c>
      <c r="AD72" s="323" t="e">
        <f t="shared" ca="1" si="55"/>
        <v>#N/A</v>
      </c>
      <c r="AE72" s="324">
        <f t="shared" ca="1" si="34"/>
        <v>16.484307842463426</v>
      </c>
      <c r="AG72" s="306">
        <f t="shared" ca="1" si="56"/>
        <v>73.775063122926454</v>
      </c>
      <c r="AH72" s="304">
        <f t="shared" ca="1" si="57"/>
        <v>83.540725108452705</v>
      </c>
    </row>
    <row r="73" spans="1:34" x14ac:dyDescent="0.25">
      <c r="A73" s="347">
        <f t="shared" ca="1" si="35"/>
        <v>0.01</v>
      </c>
      <c r="B73" s="304">
        <f t="shared" ca="1" si="36"/>
        <v>0.69000000000000039</v>
      </c>
      <c r="D73" s="306">
        <f t="shared" ca="1" si="37"/>
        <v>7.9471051005796358</v>
      </c>
      <c r="E73" s="307">
        <f t="shared" ca="1" si="38"/>
        <v>73.329264300629291</v>
      </c>
      <c r="F73" s="304">
        <f t="shared" ca="1" si="39"/>
        <v>73.758643441641496</v>
      </c>
      <c r="G73" s="306">
        <f t="shared" ca="1" si="40"/>
        <v>4.8205772352318599</v>
      </c>
      <c r="H73" s="307">
        <f t="shared" ca="1" si="41"/>
        <v>50.332747430507325</v>
      </c>
      <c r="I73" s="304">
        <f t="shared" ca="1" si="42"/>
        <v>50.563063878527743</v>
      </c>
      <c r="J73" s="306">
        <f t="shared" ca="1" si="43"/>
        <v>1.5501496499904051</v>
      </c>
      <c r="K73" s="307">
        <f t="shared" ca="1" si="44"/>
        <v>16.983968853553467</v>
      </c>
      <c r="L73" s="304">
        <f t="shared" ca="1" si="29"/>
        <v>17.05456425581843</v>
      </c>
      <c r="M73" s="306">
        <f t="shared" ca="1" si="45"/>
        <v>1.4753133887821168</v>
      </c>
      <c r="N73" s="304">
        <f t="shared" ca="1" si="46"/>
        <v>84.529230636358463</v>
      </c>
      <c r="P73" s="310">
        <f t="shared" ca="1" si="47"/>
        <v>5</v>
      </c>
      <c r="Q73" s="304">
        <f t="shared" ca="1" si="48"/>
        <v>1027.8333333333333</v>
      </c>
      <c r="R73" s="306">
        <f t="shared" ca="1" si="49"/>
        <v>0.51487487547456068</v>
      </c>
      <c r="S73" s="307">
        <f t="shared" ca="1" si="50"/>
        <v>12.155606928421827</v>
      </c>
      <c r="T73" s="304">
        <f t="shared" ca="1" si="30"/>
        <v>119.24650396781813</v>
      </c>
      <c r="U73" s="311">
        <f t="shared" ca="1" si="31"/>
        <v>0</v>
      </c>
      <c r="V73" s="306">
        <f t="shared" ca="1" si="32"/>
        <v>1.2229212291044469</v>
      </c>
      <c r="W73" s="304">
        <f t="shared" ca="1" si="33"/>
        <v>12.994313309677093</v>
      </c>
      <c r="Y73" s="314" t="str">
        <f t="shared" ca="1" si="51"/>
        <v/>
      </c>
      <c r="Z73" s="315" t="str">
        <f t="shared" ca="1" si="52"/>
        <v/>
      </c>
      <c r="AA73" s="316" t="str">
        <f t="shared" ca="1" si="53"/>
        <v/>
      </c>
      <c r="AC73" s="310" t="e">
        <f t="shared" ca="1" si="54"/>
        <v>#N/A</v>
      </c>
      <c r="AD73" s="323" t="e">
        <f t="shared" ca="1" si="55"/>
        <v>#N/A</v>
      </c>
      <c r="AE73" s="324">
        <f t="shared" ca="1" si="34"/>
        <v>16.983968853553467</v>
      </c>
      <c r="AG73" s="306">
        <f t="shared" ca="1" si="56"/>
        <v>73.75273642899306</v>
      </c>
      <c r="AH73" s="304">
        <f t="shared" ca="1" si="57"/>
        <v>83.518224046788447</v>
      </c>
    </row>
    <row r="74" spans="1:34" x14ac:dyDescent="0.25">
      <c r="A74" s="347">
        <f t="shared" ca="1" si="35"/>
        <v>0.01</v>
      </c>
      <c r="B74" s="304">
        <f t="shared" ca="1" si="36"/>
        <v>0.7000000000000004</v>
      </c>
      <c r="D74" s="306">
        <f t="shared" ca="1" si="37"/>
        <v>7.9602633244809757</v>
      </c>
      <c r="E74" s="307">
        <f t="shared" ca="1" si="38"/>
        <v>73.304926665449614</v>
      </c>
      <c r="F74" s="304">
        <f t="shared" ca="1" si="39"/>
        <v>73.735866887302706</v>
      </c>
      <c r="G74" s="306">
        <f t="shared" ca="1" si="40"/>
        <v>4.9001798684766698</v>
      </c>
      <c r="H74" s="307">
        <f t="shared" ca="1" si="41"/>
        <v>51.065796697161822</v>
      </c>
      <c r="I74" s="304">
        <f t="shared" ca="1" si="42"/>
        <v>51.300364083106544</v>
      </c>
      <c r="J74" s="306">
        <f t="shared" ca="1" si="43"/>
        <v>1.5987534355089477</v>
      </c>
      <c r="K74" s="307">
        <f t="shared" ca="1" si="44"/>
        <v>17.490961574191811</v>
      </c>
      <c r="L74" s="304">
        <f t="shared" ca="1" si="29"/>
        <v>17.563876261731242</v>
      </c>
      <c r="M74" s="306">
        <f t="shared" ca="1" si="45"/>
        <v>1.4751310772143602</v>
      </c>
      <c r="N74" s="304">
        <f t="shared" ca="1" si="46"/>
        <v>84.518784952969597</v>
      </c>
      <c r="P74" s="310">
        <f t="shared" ca="1" si="47"/>
        <v>5</v>
      </c>
      <c r="Q74" s="304">
        <f t="shared" ca="1" si="48"/>
        <v>1027.5</v>
      </c>
      <c r="R74" s="306">
        <f t="shared" ca="1" si="49"/>
        <v>0.51470789805426742</v>
      </c>
      <c r="S74" s="307">
        <f t="shared" ca="1" si="50"/>
        <v>12.150459849441285</v>
      </c>
      <c r="T74" s="304">
        <f t="shared" ca="1" si="30"/>
        <v>119.19601112301901</v>
      </c>
      <c r="U74" s="311">
        <f t="shared" ca="1" si="31"/>
        <v>0</v>
      </c>
      <c r="V74" s="306">
        <f t="shared" ca="1" si="32"/>
        <v>1.2228592294139644</v>
      </c>
      <c r="W74" s="304">
        <f t="shared" ca="1" si="33"/>
        <v>13.37535894692739</v>
      </c>
      <c r="Y74" s="314" t="str">
        <f t="shared" ca="1" si="51"/>
        <v/>
      </c>
      <c r="Z74" s="315" t="str">
        <f t="shared" ca="1" si="52"/>
        <v/>
      </c>
      <c r="AA74" s="316" t="str">
        <f t="shared" ca="1" si="53"/>
        <v/>
      </c>
      <c r="AC74" s="310" t="e">
        <f t="shared" ca="1" si="54"/>
        <v>#N/A</v>
      </c>
      <c r="AD74" s="323" t="e">
        <f t="shared" ca="1" si="55"/>
        <v>#N/A</v>
      </c>
      <c r="AE74" s="324">
        <f t="shared" ca="1" si="34"/>
        <v>17.490961574191811</v>
      </c>
      <c r="AG74" s="306">
        <f t="shared" ca="1" si="56"/>
        <v>73.729935203066859</v>
      </c>
      <c r="AH74" s="304">
        <f t="shared" ca="1" si="57"/>
        <v>83.495250324782816</v>
      </c>
    </row>
    <row r="75" spans="1:34" x14ac:dyDescent="0.25">
      <c r="A75" s="347">
        <f t="shared" ca="1" si="35"/>
        <v>0.01</v>
      </c>
      <c r="B75" s="304">
        <f t="shared" ca="1" si="36"/>
        <v>0.71000000000000041</v>
      </c>
      <c r="D75" s="306">
        <f t="shared" ca="1" si="37"/>
        <v>7.9731764356750601</v>
      </c>
      <c r="E75" s="307">
        <f t="shared" ca="1" si="38"/>
        <v>73.280135020157488</v>
      </c>
      <c r="F75" s="304">
        <f t="shared" ca="1" si="39"/>
        <v>73.712615820135667</v>
      </c>
      <c r="G75" s="306">
        <f t="shared" ca="1" si="40"/>
        <v>4.9799116328334208</v>
      </c>
      <c r="H75" s="307">
        <f t="shared" ca="1" si="41"/>
        <v>51.798598047363399</v>
      </c>
      <c r="I75" s="304">
        <f t="shared" ca="1" si="42"/>
        <v>52.037431523309728</v>
      </c>
      <c r="J75" s="306">
        <f t="shared" ca="1" si="43"/>
        <v>1.6481538930154982</v>
      </c>
      <c r="K75" s="307">
        <f t="shared" ca="1" si="44"/>
        <v>18.005283547914438</v>
      </c>
      <c r="L75" s="304">
        <f t="shared" ca="1" si="29"/>
        <v>18.080559916547401</v>
      </c>
      <c r="M75" s="306">
        <f t="shared" ca="1" si="45"/>
        <v>1.4749510058182407</v>
      </c>
      <c r="N75" s="304">
        <f t="shared" ca="1" si="46"/>
        <v>84.508467621960918</v>
      </c>
      <c r="P75" s="310">
        <f t="shared" ca="1" si="47"/>
        <v>5</v>
      </c>
      <c r="Q75" s="304">
        <f t="shared" ca="1" si="48"/>
        <v>1027.1666666666667</v>
      </c>
      <c r="R75" s="306">
        <f t="shared" ca="1" si="49"/>
        <v>0.51454092063397405</v>
      </c>
      <c r="S75" s="307">
        <f t="shared" ca="1" si="50"/>
        <v>12.145314440234944</v>
      </c>
      <c r="T75" s="304">
        <f t="shared" ca="1" si="30"/>
        <v>119.1455346587048</v>
      </c>
      <c r="U75" s="311">
        <f t="shared" ca="1" si="31"/>
        <v>0</v>
      </c>
      <c r="V75" s="306">
        <f t="shared" ca="1" si="32"/>
        <v>1.2227963366445584</v>
      </c>
      <c r="W75" s="304">
        <f t="shared" ca="1" si="33"/>
        <v>13.761758082688331</v>
      </c>
      <c r="Y75" s="314" t="str">
        <f t="shared" ca="1" si="51"/>
        <v/>
      </c>
      <c r="Z75" s="315" t="str">
        <f t="shared" ca="1" si="52"/>
        <v/>
      </c>
      <c r="AA75" s="316" t="str">
        <f t="shared" ca="1" si="53"/>
        <v/>
      </c>
      <c r="AC75" s="310" t="e">
        <f t="shared" ca="1" si="54"/>
        <v>#N/A</v>
      </c>
      <c r="AD75" s="323" t="e">
        <f t="shared" ca="1" si="55"/>
        <v>#N/A</v>
      </c>
      <c r="AE75" s="324">
        <f t="shared" ca="1" si="34"/>
        <v>18.005283547914438</v>
      </c>
      <c r="AG75" s="306">
        <f t="shared" ca="1" si="56"/>
        <v>73.706659652791799</v>
      </c>
      <c r="AH75" s="304">
        <f t="shared" ca="1" si="57"/>
        <v>83.47180410259746</v>
      </c>
    </row>
    <row r="76" spans="1:34" x14ac:dyDescent="0.25">
      <c r="A76" s="347">
        <f t="shared" ca="1" si="35"/>
        <v>0.01</v>
      </c>
      <c r="B76" s="304">
        <f t="shared" ca="1" si="36"/>
        <v>0.72000000000000042</v>
      </c>
      <c r="D76" s="306">
        <f t="shared" ca="1" si="37"/>
        <v>7.9851853973701168</v>
      </c>
      <c r="E76" s="307">
        <f t="shared" ca="1" si="38"/>
        <v>73.247981592478936</v>
      </c>
      <c r="F76" s="304">
        <f t="shared" ca="1" si="39"/>
        <v>73.681951610978018</v>
      </c>
      <c r="G76" s="306">
        <f t="shared" ca="1" si="40"/>
        <v>5.059763486807122</v>
      </c>
      <c r="H76" s="307">
        <f t="shared" ca="1" si="41"/>
        <v>52.531077863288189</v>
      </c>
      <c r="I76" s="304">
        <f t="shared" ca="1" si="42"/>
        <v>52.774192064126126</v>
      </c>
      <c r="J76" s="306">
        <f t="shared" ca="1" si="43"/>
        <v>1.6983522686137009</v>
      </c>
      <c r="K76" s="307">
        <f t="shared" ca="1" si="44"/>
        <v>18.526931927467697</v>
      </c>
      <c r="L76" s="304">
        <f t="shared" ca="1" si="29"/>
        <v>18.604612521450889</v>
      </c>
      <c r="M76" s="306">
        <f t="shared" ca="1" si="45"/>
        <v>1.4747731151361387</v>
      </c>
      <c r="N76" s="304">
        <f t="shared" ca="1" si="46"/>
        <v>84.498275236661769</v>
      </c>
      <c r="P76" s="310">
        <f t="shared" ca="1" si="47"/>
        <v>6</v>
      </c>
      <c r="Q76" s="304">
        <f t="shared" ca="1" si="48"/>
        <v>1026.7491228070176</v>
      </c>
      <c r="R76" s="306">
        <f t="shared" ca="1" si="49"/>
        <v>0.51433175944434339</v>
      </c>
      <c r="S76" s="307">
        <f t="shared" ca="1" si="50"/>
        <v>12.140171122640501</v>
      </c>
      <c r="T76" s="304">
        <f t="shared" ca="1" si="30"/>
        <v>119.09507871310332</v>
      </c>
      <c r="U76" s="311">
        <f t="shared" ca="1" si="31"/>
        <v>0</v>
      </c>
      <c r="V76" s="306">
        <f t="shared" ca="1" si="32"/>
        <v>1.2227325512822875</v>
      </c>
      <c r="W76" s="304">
        <f t="shared" ca="1" si="33"/>
        <v>14.153464045326105</v>
      </c>
      <c r="Y76" s="314" t="str">
        <f t="shared" ca="1" si="51"/>
        <v/>
      </c>
      <c r="Z76" s="315" t="str">
        <f t="shared" ca="1" si="52"/>
        <v/>
      </c>
      <c r="AA76" s="316" t="str">
        <f t="shared" ca="1" si="53"/>
        <v/>
      </c>
      <c r="AC76" s="310" t="e">
        <f t="shared" ca="1" si="54"/>
        <v>#N/A</v>
      </c>
      <c r="AD76" s="323" t="e">
        <f t="shared" ca="1" si="55"/>
        <v>#N/A</v>
      </c>
      <c r="AE76" s="324">
        <f t="shared" ca="1" si="34"/>
        <v>18.526931927467697</v>
      </c>
      <c r="AG76" s="306">
        <f t="shared" ca="1" si="56"/>
        <v>73.675970579424501</v>
      </c>
      <c r="AH76" s="304">
        <f t="shared" ca="1" si="57"/>
        <v>83.44094613585672</v>
      </c>
    </row>
    <row r="77" spans="1:34" x14ac:dyDescent="0.25">
      <c r="A77" s="347">
        <f t="shared" ca="1" si="35"/>
        <v>0.01</v>
      </c>
      <c r="B77" s="304">
        <f t="shared" ca="1" si="36"/>
        <v>0.73000000000000043</v>
      </c>
      <c r="D77" s="306">
        <f t="shared" ca="1" si="37"/>
        <v>7.9962905646997839</v>
      </c>
      <c r="E77" s="307">
        <f t="shared" ca="1" si="38"/>
        <v>73.208457951043229</v>
      </c>
      <c r="F77" s="304">
        <f t="shared" ca="1" si="39"/>
        <v>73.643865857006531</v>
      </c>
      <c r="G77" s="306">
        <f t="shared" ca="1" si="40"/>
        <v>5.1397263924541194</v>
      </c>
      <c r="H77" s="307">
        <f t="shared" ca="1" si="41"/>
        <v>53.263162442798624</v>
      </c>
      <c r="I77" s="304">
        <f t="shared" ca="1" si="42"/>
        <v>53.51057148636373</v>
      </c>
      <c r="J77" s="306">
        <f t="shared" ca="1" si="43"/>
        <v>1.749349718010007</v>
      </c>
      <c r="K77" s="307">
        <f t="shared" ca="1" si="44"/>
        <v>19.055903128998132</v>
      </c>
      <c r="L77" s="304">
        <f t="shared" ca="1" si="29"/>
        <v>19.136030635888481</v>
      </c>
      <c r="M77" s="306">
        <f t="shared" ca="1" si="45"/>
        <v>1.474597347851389</v>
      </c>
      <c r="N77" s="304">
        <f t="shared" ca="1" si="46"/>
        <v>84.488204513069135</v>
      </c>
      <c r="P77" s="310">
        <f t="shared" ca="1" si="47"/>
        <v>6</v>
      </c>
      <c r="Q77" s="304">
        <f t="shared" ca="1" si="48"/>
        <v>1026.2473684210527</v>
      </c>
      <c r="R77" s="306">
        <f t="shared" ca="1" si="49"/>
        <v>0.51408041448537556</v>
      </c>
      <c r="S77" s="307">
        <f t="shared" ca="1" si="50"/>
        <v>12.135030318495646</v>
      </c>
      <c r="T77" s="304">
        <f t="shared" ca="1" si="30"/>
        <v>119.0446474244423</v>
      </c>
      <c r="U77" s="311">
        <f t="shared" ca="1" si="31"/>
        <v>0</v>
      </c>
      <c r="V77" s="306">
        <f t="shared" ca="1" si="32"/>
        <v>1.2226678739051451</v>
      </c>
      <c r="W77" s="304">
        <f t="shared" ca="1" si="33"/>
        <v>14.550427887039271</v>
      </c>
      <c r="Y77" s="314" t="str">
        <f t="shared" ca="1" si="51"/>
        <v/>
      </c>
      <c r="Z77" s="315" t="str">
        <f t="shared" ca="1" si="52"/>
        <v/>
      </c>
      <c r="AA77" s="316" t="str">
        <f t="shared" ca="1" si="53"/>
        <v/>
      </c>
      <c r="AC77" s="310" t="e">
        <f t="shared" ca="1" si="54"/>
        <v>#N/A</v>
      </c>
      <c r="AD77" s="323" t="e">
        <f t="shared" ca="1" si="55"/>
        <v>#N/A</v>
      </c>
      <c r="AE77" s="324">
        <f t="shared" ca="1" si="34"/>
        <v>19.055903128998132</v>
      </c>
      <c r="AG77" s="306">
        <f t="shared" ca="1" si="56"/>
        <v>73.637859565610569</v>
      </c>
      <c r="AH77" s="304">
        <f t="shared" ca="1" si="57"/>
        <v>83.402667963106794</v>
      </c>
    </row>
    <row r="78" spans="1:34" x14ac:dyDescent="0.25">
      <c r="A78" s="347">
        <f t="shared" ca="1" si="35"/>
        <v>0.01</v>
      </c>
      <c r="B78" s="304">
        <f t="shared" ca="1" si="36"/>
        <v>0.74000000000000044</v>
      </c>
      <c r="D78" s="306">
        <f t="shared" ca="1" si="37"/>
        <v>8.0071593156282752</v>
      </c>
      <c r="E78" s="307">
        <f t="shared" ca="1" si="38"/>
        <v>73.168469040652283</v>
      </c>
      <c r="F78" s="304">
        <f t="shared" ca="1" si="39"/>
        <v>73.605295068077439</v>
      </c>
      <c r="G78" s="306">
        <f t="shared" ca="1" si="40"/>
        <v>5.219797985610402</v>
      </c>
      <c r="H78" s="307">
        <f t="shared" ca="1" si="41"/>
        <v>53.994847133205148</v>
      </c>
      <c r="I78" s="304">
        <f t="shared" ca="1" si="42"/>
        <v>54.246564941466794</v>
      </c>
      <c r="J78" s="306">
        <f t="shared" ca="1" si="43"/>
        <v>1.8011473399003297</v>
      </c>
      <c r="K78" s="307">
        <f t="shared" ca="1" si="44"/>
        <v>19.592193176878151</v>
      </c>
      <c r="L78" s="304">
        <f t="shared" ca="1" si="29"/>
        <v>19.674810423994963</v>
      </c>
      <c r="M78" s="306">
        <f t="shared" ca="1" si="45"/>
        <v>1.4744236489073561</v>
      </c>
      <c r="N78" s="304">
        <f t="shared" ca="1" si="46"/>
        <v>84.478252296670178</v>
      </c>
      <c r="P78" s="310">
        <f t="shared" ca="1" si="47"/>
        <v>6</v>
      </c>
      <c r="Q78" s="304">
        <f t="shared" ca="1" si="48"/>
        <v>1025.7456140350878</v>
      </c>
      <c r="R78" s="306">
        <f t="shared" ca="1" si="49"/>
        <v>0.51382906952640761</v>
      </c>
      <c r="S78" s="307">
        <f t="shared" ca="1" si="50"/>
        <v>12.129892027800382</v>
      </c>
      <c r="T78" s="304">
        <f t="shared" ca="1" si="30"/>
        <v>118.99424079272175</v>
      </c>
      <c r="U78" s="311">
        <f t="shared" ca="1" si="31"/>
        <v>0</v>
      </c>
      <c r="V78" s="306">
        <f t="shared" ca="1" si="32"/>
        <v>1.2226023051408754</v>
      </c>
      <c r="W78" s="304">
        <f t="shared" ca="1" si="33"/>
        <v>14.952636673212206</v>
      </c>
      <c r="Y78" s="314" t="str">
        <f t="shared" ca="1" si="51"/>
        <v/>
      </c>
      <c r="Z78" s="315" t="str">
        <f t="shared" ca="1" si="52"/>
        <v/>
      </c>
      <c r="AA78" s="316" t="str">
        <f t="shared" ca="1" si="53"/>
        <v/>
      </c>
      <c r="AC78" s="310" t="e">
        <f t="shared" ca="1" si="54"/>
        <v>#N/A</v>
      </c>
      <c r="AD78" s="323" t="e">
        <f t="shared" ca="1" si="55"/>
        <v>#N/A</v>
      </c>
      <c r="AE78" s="324">
        <f t="shared" ca="1" si="34"/>
        <v>19.592193176878151</v>
      </c>
      <c r="AG78" s="306">
        <f t="shared" ca="1" si="56"/>
        <v>73.59926367577448</v>
      </c>
      <c r="AH78" s="304">
        <f t="shared" ca="1" si="57"/>
        <v>83.363906606134663</v>
      </c>
    </row>
    <row r="79" spans="1:34" x14ac:dyDescent="0.25">
      <c r="A79" s="347">
        <f t="shared" ca="1" si="35"/>
        <v>0.01</v>
      </c>
      <c r="B79" s="304">
        <f t="shared" ca="1" si="36"/>
        <v>0.75000000000000044</v>
      </c>
      <c r="D79" s="306">
        <f t="shared" ca="1" si="37"/>
        <v>8.0177962633267086</v>
      </c>
      <c r="E79" s="307">
        <f t="shared" ca="1" si="38"/>
        <v>73.128014991567426</v>
      </c>
      <c r="F79" s="304">
        <f t="shared" ca="1" si="39"/>
        <v>73.566239767485229</v>
      </c>
      <c r="G79" s="306">
        <f t="shared" ca="1" si="40"/>
        <v>5.2999759482436692</v>
      </c>
      <c r="H79" s="307">
        <f t="shared" ca="1" si="41"/>
        <v>54.726127283120825</v>
      </c>
      <c r="I79" s="304">
        <f t="shared" ca="1" si="42"/>
        <v>54.982167586048327</v>
      </c>
      <c r="J79" s="306">
        <f t="shared" ca="1" si="43"/>
        <v>1.8537462095696</v>
      </c>
      <c r="K79" s="307">
        <f t="shared" ca="1" si="44"/>
        <v>20.135798048959781</v>
      </c>
      <c r="L79" s="304">
        <f t="shared" ca="1" si="29"/>
        <v>20.22094800146586</v>
      </c>
      <c r="M79" s="306">
        <f t="shared" ca="1" si="45"/>
        <v>1.4742519653888522</v>
      </c>
      <c r="N79" s="304">
        <f t="shared" ca="1" si="46"/>
        <v>84.468415555647951</v>
      </c>
      <c r="P79" s="310">
        <f t="shared" ca="1" si="47"/>
        <v>6</v>
      </c>
      <c r="Q79" s="304">
        <f t="shared" ca="1" si="48"/>
        <v>1025.2438596491227</v>
      </c>
      <c r="R79" s="306">
        <f t="shared" ca="1" si="49"/>
        <v>0.51357772456743966</v>
      </c>
      <c r="S79" s="307">
        <f t="shared" ca="1" si="50"/>
        <v>12.124756250554707</v>
      </c>
      <c r="T79" s="304">
        <f t="shared" ca="1" si="30"/>
        <v>118.94385881794169</v>
      </c>
      <c r="U79" s="311">
        <f t="shared" ca="1" si="31"/>
        <v>0</v>
      </c>
      <c r="V79" s="306">
        <f t="shared" ca="1" si="32"/>
        <v>1.2225358456247457</v>
      </c>
      <c r="W79" s="304">
        <f t="shared" ca="1" si="33"/>
        <v>15.360077311701499</v>
      </c>
      <c r="Y79" s="314" t="str">
        <f t="shared" ca="1" si="51"/>
        <v/>
      </c>
      <c r="Z79" s="315" t="str">
        <f t="shared" ca="1" si="52"/>
        <v/>
      </c>
      <c r="AA79" s="316" t="str">
        <f t="shared" ca="1" si="53"/>
        <v/>
      </c>
      <c r="AC79" s="310" t="e">
        <f t="shared" ca="1" si="54"/>
        <v>#N/A</v>
      </c>
      <c r="AD79" s="323" t="e">
        <f t="shared" ca="1" si="55"/>
        <v>#N/A</v>
      </c>
      <c r="AE79" s="324">
        <f t="shared" ca="1" si="34"/>
        <v>20.135798048959781</v>
      </c>
      <c r="AG79" s="306">
        <f t="shared" ca="1" si="56"/>
        <v>73.560183427549333</v>
      </c>
      <c r="AH79" s="304">
        <f t="shared" ca="1" si="57"/>
        <v>83.32466254154096</v>
      </c>
    </row>
    <row r="80" spans="1:34" x14ac:dyDescent="0.25">
      <c r="A80" s="347">
        <f t="shared" ca="1" si="35"/>
        <v>0.01</v>
      </c>
      <c r="B80" s="304">
        <f t="shared" ca="1" si="36"/>
        <v>0.76000000000000045</v>
      </c>
      <c r="D80" s="306">
        <f t="shared" ca="1" si="37"/>
        <v>8.0282058421934135</v>
      </c>
      <c r="E80" s="307">
        <f t="shared" ca="1" si="38"/>
        <v>73.087095961457365</v>
      </c>
      <c r="F80" s="304">
        <f t="shared" ca="1" si="39"/>
        <v>73.526700491208672</v>
      </c>
      <c r="G80" s="306">
        <f t="shared" ca="1" si="40"/>
        <v>5.3802580066656036</v>
      </c>
      <c r="H80" s="307">
        <f t="shared" ca="1" si="41"/>
        <v>55.456998242735395</v>
      </c>
      <c r="I80" s="304">
        <f t="shared" ca="1" si="42"/>
        <v>55.717374582019261</v>
      </c>
      <c r="J80" s="306">
        <f t="shared" ca="1" si="43"/>
        <v>1.9071473793441465</v>
      </c>
      <c r="K80" s="307">
        <f t="shared" ca="1" si="44"/>
        <v>20.686713676589061</v>
      </c>
      <c r="L80" s="304">
        <f t="shared" ca="1" si="29"/>
        <v>20.774439435607309</v>
      </c>
      <c r="M80" s="306">
        <f t="shared" ca="1" si="45"/>
        <v>1.4740822464112759</v>
      </c>
      <c r="N80" s="304">
        <f t="shared" ca="1" si="46"/>
        <v>84.45869137452955</v>
      </c>
      <c r="P80" s="310">
        <f t="shared" ca="1" si="47"/>
        <v>6</v>
      </c>
      <c r="Q80" s="304">
        <f t="shared" ca="1" si="48"/>
        <v>1024.7421052631578</v>
      </c>
      <c r="R80" s="306">
        <f t="shared" ca="1" si="49"/>
        <v>0.51332637960847183</v>
      </c>
      <c r="S80" s="307">
        <f t="shared" ca="1" si="50"/>
        <v>12.119622986758623</v>
      </c>
      <c r="T80" s="304">
        <f t="shared" ca="1" si="30"/>
        <v>118.89350150010209</v>
      </c>
      <c r="U80" s="311">
        <f t="shared" ca="1" si="31"/>
        <v>0</v>
      </c>
      <c r="V80" s="306">
        <f t="shared" ca="1" si="32"/>
        <v>1.2224684959995391</v>
      </c>
      <c r="W80" s="304">
        <f t="shared" ca="1" si="33"/>
        <v>15.772736553453074</v>
      </c>
      <c r="Y80" s="314" t="str">
        <f t="shared" ca="1" si="51"/>
        <v/>
      </c>
      <c r="Z80" s="315" t="str">
        <f t="shared" ca="1" si="52"/>
        <v/>
      </c>
      <c r="AA80" s="316" t="str">
        <f t="shared" ca="1" si="53"/>
        <v/>
      </c>
      <c r="AC80" s="310" t="e">
        <f t="shared" ca="1" si="54"/>
        <v>#N/A</v>
      </c>
      <c r="AD80" s="323" t="e">
        <f t="shared" ca="1" si="55"/>
        <v>#N/A</v>
      </c>
      <c r="AE80" s="324">
        <f t="shared" ca="1" si="34"/>
        <v>20.686713676589061</v>
      </c>
      <c r="AG80" s="306">
        <f t="shared" ca="1" si="56"/>
        <v>73.520619351451188</v>
      </c>
      <c r="AH80" s="304">
        <f t="shared" ca="1" si="57"/>
        <v>83.284936260332813</v>
      </c>
    </row>
    <row r="81" spans="1:34" x14ac:dyDescent="0.25">
      <c r="A81" s="347">
        <f t="shared" ca="1" si="35"/>
        <v>0.01</v>
      </c>
      <c r="B81" s="304">
        <f t="shared" ca="1" si="36"/>
        <v>0.77000000000000046</v>
      </c>
      <c r="D81" s="306">
        <f t="shared" ca="1" si="37"/>
        <v>8.038392317225588</v>
      </c>
      <c r="E81" s="307">
        <f t="shared" ca="1" si="38"/>
        <v>73.045712134718045</v>
      </c>
      <c r="F81" s="304">
        <f t="shared" ca="1" si="39"/>
        <v>73.486677787975466</v>
      </c>
      <c r="G81" s="306">
        <f t="shared" ca="1" si="40"/>
        <v>5.4606419298378599</v>
      </c>
      <c r="H81" s="307">
        <f t="shared" ca="1" si="41"/>
        <v>56.187455364082574</v>
      </c>
      <c r="I81" s="304">
        <f t="shared" ca="1" si="42"/>
        <v>56.45218109671827</v>
      </c>
      <c r="J81" s="306">
        <f t="shared" ca="1" si="43"/>
        <v>1.9613518790266637</v>
      </c>
      <c r="K81" s="307">
        <f t="shared" ca="1" si="44"/>
        <v>21.244935944623151</v>
      </c>
      <c r="L81" s="304">
        <f t="shared" ca="1" si="29"/>
        <v>21.33528074538749</v>
      </c>
      <c r="M81" s="306">
        <f t="shared" ca="1" si="45"/>
        <v>1.4739144430168833</v>
      </c>
      <c r="N81" s="304">
        <f t="shared" ca="1" si="46"/>
        <v>84.44907694824289</v>
      </c>
      <c r="P81" s="310">
        <f t="shared" ca="1" si="47"/>
        <v>6</v>
      </c>
      <c r="Q81" s="304">
        <f t="shared" ca="1" si="48"/>
        <v>1024.2403508771929</v>
      </c>
      <c r="R81" s="306">
        <f t="shared" ca="1" si="49"/>
        <v>0.51307503464950388</v>
      </c>
      <c r="S81" s="307">
        <f t="shared" ca="1" si="50"/>
        <v>12.114492236412127</v>
      </c>
      <c r="T81" s="304">
        <f t="shared" ca="1" si="30"/>
        <v>118.84316883920297</v>
      </c>
      <c r="U81" s="311">
        <f t="shared" ca="1" si="31"/>
        <v>0</v>
      </c>
      <c r="V81" s="306">
        <f t="shared" ca="1" si="32"/>
        <v>1.222400256915549</v>
      </c>
      <c r="W81" s="304">
        <f t="shared" ca="1" si="33"/>
        <v>16.190600993129259</v>
      </c>
      <c r="Y81" s="314" t="str">
        <f t="shared" ca="1" si="51"/>
        <v/>
      </c>
      <c r="Z81" s="315" t="str">
        <f t="shared" ca="1" si="52"/>
        <v/>
      </c>
      <c r="AA81" s="316" t="str">
        <f t="shared" ca="1" si="53"/>
        <v/>
      </c>
      <c r="AC81" s="310" t="e">
        <f t="shared" ca="1" si="54"/>
        <v>#N/A</v>
      </c>
      <c r="AD81" s="323" t="e">
        <f t="shared" ca="1" si="55"/>
        <v>#N/A</v>
      </c>
      <c r="AE81" s="324">
        <f t="shared" ca="1" si="34"/>
        <v>21.244935944623151</v>
      </c>
      <c r="AG81" s="306">
        <f t="shared" ca="1" si="56"/>
        <v>73.480571990933711</v>
      </c>
      <c r="AH81" s="304">
        <f t="shared" ca="1" si="57"/>
        <v>83.244728267902317</v>
      </c>
    </row>
    <row r="82" spans="1:34" x14ac:dyDescent="0.25">
      <c r="A82" s="347">
        <f t="shared" ca="1" si="35"/>
        <v>0.01</v>
      </c>
      <c r="B82" s="304">
        <f t="shared" ca="1" si="36"/>
        <v>0.78000000000000047</v>
      </c>
      <c r="D82" s="306">
        <f t="shared" ca="1" si="37"/>
        <v>8.0483597927874211</v>
      </c>
      <c r="E82" s="307">
        <f t="shared" ca="1" si="38"/>
        <v>73.003863721833142</v>
      </c>
      <c r="F82" s="304">
        <f t="shared" ca="1" si="39"/>
        <v>73.446172219320886</v>
      </c>
      <c r="G82" s="306">
        <f t="shared" ca="1" si="40"/>
        <v>5.5411255277657343</v>
      </c>
      <c r="H82" s="307">
        <f t="shared" ca="1" si="41"/>
        <v>56.917494001300902</v>
      </c>
      <c r="I82" s="304">
        <f t="shared" ca="1" si="42"/>
        <v>57.186582303041867</v>
      </c>
      <c r="J82" s="306">
        <f t="shared" ca="1" si="43"/>
        <v>2.0163607163146819</v>
      </c>
      <c r="K82" s="307">
        <f t="shared" ca="1" si="44"/>
        <v>21.810460691450068</v>
      </c>
      <c r="L82" s="304">
        <f t="shared" ca="1" si="29"/>
        <v>21.903467901489609</v>
      </c>
      <c r="M82" s="306">
        <f t="shared" ca="1" si="45"/>
        <v>1.473748508077636</v>
      </c>
      <c r="N82" s="304">
        <f t="shared" ca="1" si="46"/>
        <v>84.439569576550255</v>
      </c>
      <c r="P82" s="310">
        <f t="shared" ca="1" si="47"/>
        <v>6</v>
      </c>
      <c r="Q82" s="304">
        <f t="shared" ca="1" si="48"/>
        <v>1023.738596491228</v>
      </c>
      <c r="R82" s="306">
        <f t="shared" ca="1" si="49"/>
        <v>0.51282368969053604</v>
      </c>
      <c r="S82" s="307">
        <f t="shared" ca="1" si="50"/>
        <v>12.109363999515223</v>
      </c>
      <c r="T82" s="304">
        <f t="shared" ca="1" si="30"/>
        <v>118.79286083524434</v>
      </c>
      <c r="U82" s="311">
        <f t="shared" ca="1" si="31"/>
        <v>0</v>
      </c>
      <c r="V82" s="306">
        <f t="shared" ca="1" si="32"/>
        <v>1.2223311290305661</v>
      </c>
      <c r="W82" s="304">
        <f t="shared" ca="1" si="33"/>
        <v>16.613657069745503</v>
      </c>
      <c r="Y82" s="314" t="str">
        <f t="shared" ca="1" si="51"/>
        <v/>
      </c>
      <c r="Z82" s="315" t="str">
        <f t="shared" ca="1" si="52"/>
        <v/>
      </c>
      <c r="AA82" s="316" t="str">
        <f t="shared" ca="1" si="53"/>
        <v/>
      </c>
      <c r="AC82" s="310" t="e">
        <f t="shared" ca="1" si="54"/>
        <v>#N/A</v>
      </c>
      <c r="AD82" s="323" t="e">
        <f t="shared" ca="1" si="55"/>
        <v>#N/A</v>
      </c>
      <c r="AE82" s="324">
        <f t="shared" ca="1" si="34"/>
        <v>21.810460691450068</v>
      </c>
      <c r="AG82" s="306">
        <f t="shared" ca="1" si="56"/>
        <v>73.440041902437571</v>
      </c>
      <c r="AH82" s="304">
        <f t="shared" ca="1" si="57"/>
        <v>83.204039084004265</v>
      </c>
    </row>
    <row r="83" spans="1:34" x14ac:dyDescent="0.25">
      <c r="A83" s="347">
        <f t="shared" ca="1" si="35"/>
        <v>0.01</v>
      </c>
      <c r="B83" s="304">
        <f t="shared" ca="1" si="36"/>
        <v>0.79000000000000048</v>
      </c>
      <c r="D83" s="306">
        <f t="shared" ca="1" si="37"/>
        <v>8.0581122208214104</v>
      </c>
      <c r="E83" s="307">
        <f t="shared" ca="1" si="38"/>
        <v>72.961550958771653</v>
      </c>
      <c r="F83" s="304">
        <f t="shared" ca="1" si="39"/>
        <v>73.405184359640316</v>
      </c>
      <c r="G83" s="306">
        <f t="shared" ca="1" si="40"/>
        <v>5.6217066499739481</v>
      </c>
      <c r="H83" s="307">
        <f t="shared" ca="1" si="41"/>
        <v>57.647109510888619</v>
      </c>
      <c r="I83" s="304">
        <f t="shared" ca="1" si="42"/>
        <v>57.920573379575124</v>
      </c>
      <c r="J83" s="306">
        <f t="shared" ca="1" si="43"/>
        <v>2.0721748772033806</v>
      </c>
      <c r="K83" s="307">
        <f t="shared" ca="1" si="44"/>
        <v>22.383283709011014</v>
      </c>
      <c r="L83" s="304">
        <f t="shared" ca="1" si="29"/>
        <v>22.478996826366402</v>
      </c>
      <c r="M83" s="306">
        <f t="shared" ca="1" si="45"/>
        <v>1.4735843962041379</v>
      </c>
      <c r="N83" s="304">
        <f t="shared" ca="1" si="46"/>
        <v>84.430166658830828</v>
      </c>
      <c r="P83" s="310">
        <f t="shared" ca="1" si="47"/>
        <v>6</v>
      </c>
      <c r="Q83" s="304">
        <f t="shared" ca="1" si="48"/>
        <v>1023.2368421052631</v>
      </c>
      <c r="R83" s="306">
        <f t="shared" ca="1" si="49"/>
        <v>0.5125723447315681</v>
      </c>
      <c r="S83" s="307">
        <f t="shared" ca="1" si="50"/>
        <v>12.104238276067907</v>
      </c>
      <c r="T83" s="304">
        <f t="shared" ca="1" si="30"/>
        <v>118.74257748822617</v>
      </c>
      <c r="U83" s="311">
        <f t="shared" ca="1" si="31"/>
        <v>0</v>
      </c>
      <c r="V83" s="306">
        <f t="shared" ca="1" si="32"/>
        <v>1.2222611130098733</v>
      </c>
      <c r="W83" s="304">
        <f t="shared" ca="1" si="33"/>
        <v>17.041891067317074</v>
      </c>
      <c r="Y83" s="314" t="str">
        <f t="shared" ca="1" si="51"/>
        <v/>
      </c>
      <c r="Z83" s="315" t="str">
        <f t="shared" ca="1" si="52"/>
        <v/>
      </c>
      <c r="AA83" s="316" t="str">
        <f t="shared" ca="1" si="53"/>
        <v/>
      </c>
      <c r="AC83" s="310" t="e">
        <f t="shared" ca="1" si="54"/>
        <v>#N/A</v>
      </c>
      <c r="AD83" s="323" t="e">
        <f t="shared" ca="1" si="55"/>
        <v>#N/A</v>
      </c>
      <c r="AE83" s="324">
        <f t="shared" ca="1" si="34"/>
        <v>22.383283709011014</v>
      </c>
      <c r="AG83" s="306">
        <f t="shared" ca="1" si="56"/>
        <v>73.399029655434049</v>
      </c>
      <c r="AH83" s="304">
        <f t="shared" ca="1" si="57"/>
        <v>83.162869242732867</v>
      </c>
    </row>
    <row r="84" spans="1:34" x14ac:dyDescent="0.25">
      <c r="A84" s="347">
        <f t="shared" ca="1" si="35"/>
        <v>0.01</v>
      </c>
      <c r="B84" s="304">
        <f t="shared" ca="1" si="36"/>
        <v>0.80000000000000049</v>
      </c>
      <c r="D84" s="306">
        <f t="shared" ca="1" si="37"/>
        <v>8.0676534085444214</v>
      </c>
      <c r="E84" s="307">
        <f t="shared" ca="1" si="38"/>
        <v>72.918774106420059</v>
      </c>
      <c r="F84" s="304">
        <f t="shared" ca="1" si="39"/>
        <v>73.363714796236394</v>
      </c>
      <c r="G84" s="306">
        <f t="shared" ca="1" si="40"/>
        <v>5.7023831840593919</v>
      </c>
      <c r="H84" s="307">
        <f t="shared" ca="1" si="41"/>
        <v>58.37629725195282</v>
      </c>
      <c r="I84" s="304">
        <f t="shared" ca="1" si="42"/>
        <v>58.654149510722583</v>
      </c>
      <c r="J84" s="306">
        <f t="shared" ca="1" si="43"/>
        <v>2.1287953263735471</v>
      </c>
      <c r="K84" s="307">
        <f t="shared" ca="1" si="44"/>
        <v>22.963400742825222</v>
      </c>
      <c r="L84" s="304">
        <f t="shared" ca="1" si="29"/>
        <v>23.061863394296129</v>
      </c>
      <c r="M84" s="306">
        <f t="shared" ca="1" si="45"/>
        <v>1.4734220636602007</v>
      </c>
      <c r="N84" s="304">
        <f t="shared" ca="1" si="46"/>
        <v>84.420865689185604</v>
      </c>
      <c r="P84" s="310">
        <f t="shared" ca="1" si="47"/>
        <v>6</v>
      </c>
      <c r="Q84" s="304">
        <f t="shared" ca="1" si="48"/>
        <v>1022.7350877192982</v>
      </c>
      <c r="R84" s="306">
        <f t="shared" ca="1" si="49"/>
        <v>0.51232099977260026</v>
      </c>
      <c r="S84" s="307">
        <f t="shared" ca="1" si="50"/>
        <v>12.099115066070182</v>
      </c>
      <c r="T84" s="304">
        <f t="shared" ca="1" si="30"/>
        <v>118.69231879814849</v>
      </c>
      <c r="U84" s="311">
        <f t="shared" ca="1" si="31"/>
        <v>0</v>
      </c>
      <c r="V84" s="306">
        <f t="shared" ca="1" si="32"/>
        <v>1.2221902095262367</v>
      </c>
      <c r="W84" s="304">
        <f t="shared" ca="1" si="33"/>
        <v>17.475289115515348</v>
      </c>
      <c r="Y84" s="314" t="str">
        <f t="shared" ca="1" si="51"/>
        <v/>
      </c>
      <c r="Z84" s="315" t="str">
        <f t="shared" ca="1" si="52"/>
        <v/>
      </c>
      <c r="AA84" s="316" t="str">
        <f t="shared" ca="1" si="53"/>
        <v/>
      </c>
      <c r="AC84" s="310" t="e">
        <f t="shared" ca="1" si="54"/>
        <v>#N/A</v>
      </c>
      <c r="AD84" s="323" t="e">
        <f t="shared" ca="1" si="55"/>
        <v>#N/A</v>
      </c>
      <c r="AE84" s="324">
        <f t="shared" ca="1" si="34"/>
        <v>22.963400742825222</v>
      </c>
      <c r="AG84" s="306">
        <f t="shared" ca="1" si="56"/>
        <v>73.357535832464038</v>
      </c>
      <c r="AH84" s="304">
        <f t="shared" ca="1" si="57"/>
        <v>83.121219292497599</v>
      </c>
    </row>
    <row r="85" spans="1:34" x14ac:dyDescent="0.25">
      <c r="A85" s="347">
        <f t="shared" ca="1" si="35"/>
        <v>0.01</v>
      </c>
      <c r="B85" s="304">
        <f t="shared" ca="1" si="36"/>
        <v>0.8100000000000005</v>
      </c>
      <c r="D85" s="306">
        <f t="shared" ca="1" si="37"/>
        <v>8.0769870256673606</v>
      </c>
      <c r="E85" s="307">
        <f t="shared" ca="1" si="38"/>
        <v>72.875533450046291</v>
      </c>
      <c r="F85" s="304">
        <f t="shared" ca="1" si="39"/>
        <v>73.321764129360758</v>
      </c>
      <c r="G85" s="306">
        <f t="shared" ca="1" si="40"/>
        <v>5.7831530543160659</v>
      </c>
      <c r="H85" s="307">
        <f t="shared" ca="1" si="41"/>
        <v>59.105052586453283</v>
      </c>
      <c r="I85" s="304">
        <f t="shared" ca="1" si="42"/>
        <v>59.387305886839599</v>
      </c>
      <c r="J85" s="306">
        <f t="shared" ca="1" si="43"/>
        <v>2.1862230075654243</v>
      </c>
      <c r="K85" s="307">
        <f t="shared" ca="1" si="44"/>
        <v>23.550807492017253</v>
      </c>
      <c r="L85" s="304">
        <f t="shared" ca="1" si="29"/>
        <v>23.652063431440066</v>
      </c>
      <c r="M85" s="306">
        <f t="shared" ca="1" si="45"/>
        <v>1.4732614682826275</v>
      </c>
      <c r="N85" s="304">
        <f t="shared" ca="1" si="46"/>
        <v>84.411664251841344</v>
      </c>
      <c r="P85" s="310">
        <f t="shared" ca="1" si="47"/>
        <v>6</v>
      </c>
      <c r="Q85" s="304">
        <f t="shared" ca="1" si="48"/>
        <v>1022.2333333333333</v>
      </c>
      <c r="R85" s="306">
        <f t="shared" ca="1" si="49"/>
        <v>0.51206965481363242</v>
      </c>
      <c r="S85" s="307">
        <f t="shared" ca="1" si="50"/>
        <v>12.093994369522045</v>
      </c>
      <c r="T85" s="304">
        <f t="shared" ca="1" si="30"/>
        <v>118.64208476501128</v>
      </c>
      <c r="U85" s="311">
        <f t="shared" ca="1" si="31"/>
        <v>0</v>
      </c>
      <c r="V85" s="306">
        <f t="shared" ca="1" si="32"/>
        <v>1.222118419259892</v>
      </c>
      <c r="W85" s="304">
        <f t="shared" ca="1" si="33"/>
        <v>17.913837190333791</v>
      </c>
      <c r="Y85" s="314" t="str">
        <f t="shared" ca="1" si="51"/>
        <v/>
      </c>
      <c r="Z85" s="315" t="str">
        <f t="shared" ca="1" si="52"/>
        <v/>
      </c>
      <c r="AA85" s="316" t="str">
        <f t="shared" ca="1" si="53"/>
        <v/>
      </c>
      <c r="AC85" s="310" t="e">
        <f t="shared" ca="1" si="54"/>
        <v>#N/A</v>
      </c>
      <c r="AD85" s="323" t="e">
        <f t="shared" ca="1" si="55"/>
        <v>#N/A</v>
      </c>
      <c r="AE85" s="324">
        <f t="shared" ca="1" si="34"/>
        <v>23.550807492017253</v>
      </c>
      <c r="AG85" s="306">
        <f t="shared" ca="1" si="56"/>
        <v>73.315561029172073</v>
      </c>
      <c r="AH85" s="304">
        <f t="shared" ca="1" si="57"/>
        <v>83.079089795998144</v>
      </c>
    </row>
    <row r="86" spans="1:34" x14ac:dyDescent="0.25">
      <c r="A86" s="347">
        <f t="shared" ca="1" si="35"/>
        <v>0.01</v>
      </c>
      <c r="B86" s="304">
        <f t="shared" ca="1" si="36"/>
        <v>0.82000000000000051</v>
      </c>
      <c r="D86" s="306">
        <f t="shared" ca="1" si="37"/>
        <v>8.0861166111731642</v>
      </c>
      <c r="E86" s="307">
        <f t="shared" ca="1" si="38"/>
        <v>72.831829298793323</v>
      </c>
      <c r="F86" s="304">
        <f t="shared" ca="1" si="39"/>
        <v>73.279332972251183</v>
      </c>
      <c r="G86" s="306">
        <f t="shared" ca="1" si="40"/>
        <v>5.8640142204277979</v>
      </c>
      <c r="H86" s="307">
        <f t="shared" ca="1" si="41"/>
        <v>59.833370879441219</v>
      </c>
      <c r="I86" s="304">
        <f t="shared" ca="1" si="42"/>
        <v>60.120037704363959</v>
      </c>
      <c r="J86" s="306">
        <f t="shared" ca="1" si="43"/>
        <v>2.2444588439391437</v>
      </c>
      <c r="K86" s="307">
        <f t="shared" ca="1" si="44"/>
        <v>24.145499609346725</v>
      </c>
      <c r="L86" s="304">
        <f t="shared" ca="1" si="29"/>
        <v>24.249592715901425</v>
      </c>
      <c r="M86" s="306">
        <f t="shared" ca="1" si="45"/>
        <v>1.4731025694058342</v>
      </c>
      <c r="N86" s="304">
        <f t="shared" ca="1" si="46"/>
        <v>84.402560016831728</v>
      </c>
      <c r="P86" s="310">
        <f t="shared" ca="1" si="47"/>
        <v>6</v>
      </c>
      <c r="Q86" s="304">
        <f t="shared" ca="1" si="48"/>
        <v>1021.7315789473683</v>
      </c>
      <c r="R86" s="306">
        <f t="shared" ca="1" si="49"/>
        <v>0.51181830985466448</v>
      </c>
      <c r="S86" s="307">
        <f t="shared" ca="1" si="50"/>
        <v>12.088876186423498</v>
      </c>
      <c r="T86" s="304">
        <f t="shared" ca="1" si="30"/>
        <v>118.59187538881451</v>
      </c>
      <c r="U86" s="311">
        <f t="shared" ca="1" si="31"/>
        <v>0</v>
      </c>
      <c r="V86" s="306">
        <f t="shared" ca="1" si="32"/>
        <v>1.2220457428985396</v>
      </c>
      <c r="W86" s="304">
        <f t="shared" ca="1" si="33"/>
        <v>18.357521114763664</v>
      </c>
      <c r="Y86" s="314" t="str">
        <f t="shared" ca="1" si="51"/>
        <v/>
      </c>
      <c r="Z86" s="315" t="str">
        <f t="shared" ca="1" si="52"/>
        <v/>
      </c>
      <c r="AA86" s="316" t="str">
        <f t="shared" ca="1" si="53"/>
        <v/>
      </c>
      <c r="AC86" s="310" t="e">
        <f t="shared" ca="1" si="54"/>
        <v>#N/A</v>
      </c>
      <c r="AD86" s="323" t="e">
        <f t="shared" ca="1" si="55"/>
        <v>#N/A</v>
      </c>
      <c r="AE86" s="324">
        <f t="shared" ca="1" si="34"/>
        <v>24.145499609346725</v>
      </c>
      <c r="AG86" s="306">
        <f t="shared" ca="1" si="56"/>
        <v>73.273105854336009</v>
      </c>
      <c r="AH86" s="304">
        <f t="shared" ca="1" si="57"/>
        <v>83.036481330198384</v>
      </c>
    </row>
    <row r="87" spans="1:34" x14ac:dyDescent="0.25">
      <c r="A87" s="347">
        <f t="shared" ca="1" si="35"/>
        <v>0.01</v>
      </c>
      <c r="B87" s="304">
        <f t="shared" ca="1" si="36"/>
        <v>0.83000000000000052</v>
      </c>
      <c r="D87" s="306">
        <f t="shared" ca="1" si="37"/>
        <v>8.0950455796854595</v>
      </c>
      <c r="E87" s="307">
        <f t="shared" ca="1" si="38"/>
        <v>72.787661985199932</v>
      </c>
      <c r="F87" s="304">
        <f t="shared" ca="1" si="39"/>
        <v>73.236421951163791</v>
      </c>
      <c r="G87" s="306">
        <f t="shared" ca="1" si="40"/>
        <v>5.9449646762246529</v>
      </c>
      <c r="H87" s="307">
        <f t="shared" ca="1" si="41"/>
        <v>60.561247499293216</v>
      </c>
      <c r="I87" s="304">
        <f t="shared" ca="1" si="42"/>
        <v>60.852340165947666</v>
      </c>
      <c r="J87" s="306">
        <f t="shared" ca="1" si="43"/>
        <v>2.303503738422406</v>
      </c>
      <c r="K87" s="307">
        <f t="shared" ca="1" si="44"/>
        <v>24.747472701240397</v>
      </c>
      <c r="L87" s="304">
        <f t="shared" ca="1" si="29"/>
        <v>24.854446977785781</v>
      </c>
      <c r="M87" s="306">
        <f t="shared" ca="1" si="45"/>
        <v>1.4729453277909608</v>
      </c>
      <c r="N87" s="304">
        <f t="shared" ca="1" si="46"/>
        <v>84.393550735935662</v>
      </c>
      <c r="P87" s="310">
        <f t="shared" ca="1" si="47"/>
        <v>6</v>
      </c>
      <c r="Q87" s="304">
        <f t="shared" ca="1" si="48"/>
        <v>1021.2298245614035</v>
      </c>
      <c r="R87" s="306">
        <f t="shared" ca="1" si="49"/>
        <v>0.51156696489569653</v>
      </c>
      <c r="S87" s="307">
        <f t="shared" ca="1" si="50"/>
        <v>12.083760516774541</v>
      </c>
      <c r="T87" s="304">
        <f t="shared" ca="1" si="30"/>
        <v>118.54169066955825</v>
      </c>
      <c r="U87" s="311">
        <f t="shared" ca="1" si="31"/>
        <v>0</v>
      </c>
      <c r="V87" s="306">
        <f t="shared" ca="1" si="32"/>
        <v>1.2219721811373305</v>
      </c>
      <c r="W87" s="304">
        <f t="shared" ca="1" si="33"/>
        <v>18.806326559479221</v>
      </c>
      <c r="Y87" s="314" t="str">
        <f t="shared" ca="1" si="51"/>
        <v/>
      </c>
      <c r="Z87" s="315" t="str">
        <f t="shared" ca="1" si="52"/>
        <v/>
      </c>
      <c r="AA87" s="316" t="str">
        <f t="shared" ca="1" si="53"/>
        <v/>
      </c>
      <c r="AC87" s="310" t="e">
        <f t="shared" ca="1" si="54"/>
        <v>#N/A</v>
      </c>
      <c r="AD87" s="323" t="e">
        <f t="shared" ca="1" si="55"/>
        <v>#N/A</v>
      </c>
      <c r="AE87" s="324">
        <f t="shared" ca="1" si="34"/>
        <v>24.747472701240397</v>
      </c>
      <c r="AG87" s="306">
        <f t="shared" ca="1" si="56"/>
        <v>73.23017092989258</v>
      </c>
      <c r="AH87" s="304">
        <f t="shared" ca="1" si="57"/>
        <v>82.993394486299493</v>
      </c>
    </row>
    <row r="88" spans="1:34" x14ac:dyDescent="0.25">
      <c r="A88" s="347">
        <f t="shared" ca="1" si="35"/>
        <v>0.01</v>
      </c>
      <c r="B88" s="304">
        <f t="shared" ca="1" si="36"/>
        <v>0.84000000000000052</v>
      </c>
      <c r="D88" s="306">
        <f t="shared" ca="1" si="37"/>
        <v>8.1037772274571722</v>
      </c>
      <c r="E88" s="307">
        <f t="shared" ca="1" si="38"/>
        <v>72.743031864747095</v>
      </c>
      <c r="F88" s="304">
        <f t="shared" ca="1" si="39"/>
        <v>73.193031705401197</v>
      </c>
      <c r="G88" s="306">
        <f t="shared" ca="1" si="40"/>
        <v>6.0260024484992245</v>
      </c>
      <c r="H88" s="307">
        <f t="shared" ca="1" si="41"/>
        <v>61.288677817940687</v>
      </c>
      <c r="I88" s="304">
        <f t="shared" ca="1" si="42"/>
        <v>61.584208480589027</v>
      </c>
      <c r="J88" s="306">
        <f t="shared" ca="1" si="43"/>
        <v>2.3633585740460252</v>
      </c>
      <c r="K88" s="307">
        <f t="shared" ca="1" si="44"/>
        <v>25.356722327826567</v>
      </c>
      <c r="L88" s="304">
        <f t="shared" ca="1" si="29"/>
        <v>25.466621899262872</v>
      </c>
      <c r="M88" s="306">
        <f t="shared" ca="1" si="45"/>
        <v>1.4727897055591541</v>
      </c>
      <c r="N88" s="304">
        <f t="shared" ca="1" si="46"/>
        <v>84.38463423885473</v>
      </c>
      <c r="P88" s="310">
        <f t="shared" ca="1" si="47"/>
        <v>6</v>
      </c>
      <c r="Q88" s="304">
        <f t="shared" ca="1" si="48"/>
        <v>1020.7280701754386</v>
      </c>
      <c r="R88" s="306">
        <f t="shared" ca="1" si="49"/>
        <v>0.51131561993672869</v>
      </c>
      <c r="S88" s="307">
        <f t="shared" ca="1" si="50"/>
        <v>12.078647360575173</v>
      </c>
      <c r="T88" s="304">
        <f t="shared" ca="1" si="30"/>
        <v>118.49153060724245</v>
      </c>
      <c r="U88" s="311">
        <f t="shared" ca="1" si="31"/>
        <v>0</v>
      </c>
      <c r="V88" s="306">
        <f t="shared" ca="1" si="32"/>
        <v>1.2218977346788582</v>
      </c>
      <c r="W88" s="304">
        <f t="shared" ca="1" si="33"/>
        <v>19.260239043532501</v>
      </c>
      <c r="Y88" s="314" t="str">
        <f t="shared" ca="1" si="51"/>
        <v/>
      </c>
      <c r="Z88" s="315" t="str">
        <f t="shared" ca="1" si="52"/>
        <v/>
      </c>
      <c r="AA88" s="316" t="str">
        <f t="shared" ca="1" si="53"/>
        <v/>
      </c>
      <c r="AC88" s="310" t="e">
        <f t="shared" ca="1" si="54"/>
        <v>#N/A</v>
      </c>
      <c r="AD88" s="323" t="e">
        <f t="shared" ca="1" si="55"/>
        <v>#N/A</v>
      </c>
      <c r="AE88" s="324">
        <f t="shared" ca="1" si="34"/>
        <v>25.356722327826567</v>
      </c>
      <c r="AG88" s="306">
        <f t="shared" ca="1" si="56"/>
        <v>73.186756890958947</v>
      </c>
      <c r="AH88" s="304">
        <f t="shared" ca="1" si="57"/>
        <v>82.949829869712232</v>
      </c>
    </row>
    <row r="89" spans="1:34" x14ac:dyDescent="0.25">
      <c r="A89" s="347">
        <f t="shared" ca="1" si="35"/>
        <v>0.01</v>
      </c>
      <c r="B89" s="304">
        <f t="shared" ca="1" si="36"/>
        <v>0.85000000000000053</v>
      </c>
      <c r="D89" s="306">
        <f t="shared" ca="1" si="37"/>
        <v>8.1123147380061713</v>
      </c>
      <c r="E89" s="307">
        <f t="shared" ca="1" si="38"/>
        <v>72.697939315427647</v>
      </c>
      <c r="F89" s="304">
        <f t="shared" ca="1" si="39"/>
        <v>73.149162887336402</v>
      </c>
      <c r="G89" s="306">
        <f t="shared" ca="1" si="40"/>
        <v>6.1071255958792863</v>
      </c>
      <c r="H89" s="307">
        <f t="shared" ca="1" si="41"/>
        <v>62.015657211094961</v>
      </c>
      <c r="I89" s="304">
        <f t="shared" ca="1" si="42"/>
        <v>62.315637863764806</v>
      </c>
      <c r="J89" s="306">
        <f t="shared" ca="1" si="43"/>
        <v>2.4240242142679178</v>
      </c>
      <c r="K89" s="307">
        <f t="shared" ca="1" si="44"/>
        <v>25.973244002971747</v>
      </c>
      <c r="L89" s="304">
        <f t="shared" ca="1" si="29"/>
        <v>26.086113114629878</v>
      </c>
      <c r="M89" s="306">
        <f t="shared" ca="1" si="45"/>
        <v>1.4726356661287303</v>
      </c>
      <c r="N89" s="304">
        <f t="shared" ca="1" si="46"/>
        <v>84.375808429612846</v>
      </c>
      <c r="P89" s="310">
        <f t="shared" ca="1" si="47"/>
        <v>6</v>
      </c>
      <c r="Q89" s="304">
        <f t="shared" ca="1" si="48"/>
        <v>1020.2263157894737</v>
      </c>
      <c r="R89" s="306">
        <f t="shared" ca="1" si="49"/>
        <v>0.51106427497776075</v>
      </c>
      <c r="S89" s="307">
        <f t="shared" ca="1" si="50"/>
        <v>12.073536717825396</v>
      </c>
      <c r="T89" s="304">
        <f t="shared" ca="1" si="30"/>
        <v>118.44139520186714</v>
      </c>
      <c r="U89" s="311">
        <f t="shared" ca="1" si="31"/>
        <v>0</v>
      </c>
      <c r="V89" s="306">
        <f t="shared" ca="1" si="32"/>
        <v>1.2218224042331458</v>
      </c>
      <c r="W89" s="304">
        <f t="shared" ca="1" si="33"/>
        <v>19.719243935057531</v>
      </c>
      <c r="Y89" s="314" t="str">
        <f t="shared" ca="1" si="51"/>
        <v/>
      </c>
      <c r="Z89" s="315" t="str">
        <f t="shared" ca="1" si="52"/>
        <v/>
      </c>
      <c r="AA89" s="316" t="str">
        <f t="shared" ca="1" si="53"/>
        <v/>
      </c>
      <c r="AC89" s="310" t="e">
        <f t="shared" ca="1" si="54"/>
        <v>#N/A</v>
      </c>
      <c r="AD89" s="323" t="e">
        <f t="shared" ca="1" si="55"/>
        <v>#N/A</v>
      </c>
      <c r="AE89" s="324">
        <f t="shared" ca="1" si="34"/>
        <v>25.973244002971747</v>
      </c>
      <c r="AG89" s="306">
        <f t="shared" ca="1" si="56"/>
        <v>73.142864385850544</v>
      </c>
      <c r="AH89" s="304">
        <f t="shared" ca="1" si="57"/>
        <v>82.905788100028118</v>
      </c>
    </row>
    <row r="90" spans="1:34" x14ac:dyDescent="0.25">
      <c r="A90" s="347">
        <f t="shared" ca="1" si="35"/>
        <v>0.01</v>
      </c>
      <c r="B90" s="304">
        <f t="shared" ca="1" si="36"/>
        <v>0.86000000000000054</v>
      </c>
      <c r="D90" s="306">
        <f t="shared" ca="1" si="37"/>
        <v>8.1206611874225771</v>
      </c>
      <c r="E90" s="307">
        <f t="shared" ca="1" si="38"/>
        <v>72.652384737337997</v>
      </c>
      <c r="F90" s="304">
        <f t="shared" ca="1" si="39"/>
        <v>73.104816162432797</v>
      </c>
      <c r="G90" s="306">
        <f t="shared" ca="1" si="40"/>
        <v>6.1883322077535121</v>
      </c>
      <c r="H90" s="307">
        <f t="shared" ca="1" si="41"/>
        <v>62.74218105846834</v>
      </c>
      <c r="I90" s="304">
        <f t="shared" ca="1" si="42"/>
        <v>63.046623537562603</v>
      </c>
      <c r="J90" s="306">
        <f t="shared" ca="1" si="43"/>
        <v>2.4855015032860819</v>
      </c>
      <c r="K90" s="307">
        <f t="shared" ca="1" si="44"/>
        <v>26.597033194319565</v>
      </c>
      <c r="L90" s="304">
        <f t="shared" ca="1" si="29"/>
        <v>26.7129162103761</v>
      </c>
      <c r="M90" s="306">
        <f t="shared" ca="1" si="45"/>
        <v>1.4724831741559485</v>
      </c>
      <c r="N90" s="304">
        <f t="shared" ca="1" si="46"/>
        <v>84.367071283162829</v>
      </c>
      <c r="P90" s="310">
        <f t="shared" ca="1" si="47"/>
        <v>6</v>
      </c>
      <c r="Q90" s="304">
        <f t="shared" ca="1" si="48"/>
        <v>1019.7245614035087</v>
      </c>
      <c r="R90" s="306">
        <f t="shared" ca="1" si="49"/>
        <v>0.51081293001879291</v>
      </c>
      <c r="S90" s="307">
        <f t="shared" ca="1" si="50"/>
        <v>12.068428588525208</v>
      </c>
      <c r="T90" s="304">
        <f t="shared" ca="1" si="30"/>
        <v>118.39128445343229</v>
      </c>
      <c r="U90" s="311">
        <f t="shared" ca="1" si="31"/>
        <v>0</v>
      </c>
      <c r="V90" s="306">
        <f t="shared" ca="1" si="32"/>
        <v>1.2217461905176363</v>
      </c>
      <c r="W90" s="304">
        <f t="shared" ca="1" si="33"/>
        <v>20.183326451984076</v>
      </c>
      <c r="Y90" s="314" t="str">
        <f t="shared" ca="1" si="51"/>
        <v/>
      </c>
      <c r="Z90" s="315" t="str">
        <f t="shared" ca="1" si="52"/>
        <v/>
      </c>
      <c r="AA90" s="316" t="str">
        <f t="shared" ca="1" si="53"/>
        <v/>
      </c>
      <c r="AC90" s="310" t="e">
        <f t="shared" ca="1" si="54"/>
        <v>#N/A</v>
      </c>
      <c r="AD90" s="323" t="e">
        <f t="shared" ca="1" si="55"/>
        <v>#N/A</v>
      </c>
      <c r="AE90" s="324">
        <f t="shared" ca="1" si="34"/>
        <v>26.597033194319565</v>
      </c>
      <c r="AG90" s="306">
        <f t="shared" ca="1" si="56"/>
        <v>73.098494076095307</v>
      </c>
      <c r="AH90" s="304">
        <f t="shared" ca="1" si="57"/>
        <v>82.861269810989896</v>
      </c>
    </row>
    <row r="91" spans="1:34" x14ac:dyDescent="0.25">
      <c r="A91" s="347">
        <f t="shared" ca="1" si="35"/>
        <v>0.01</v>
      </c>
      <c r="B91" s="304">
        <f t="shared" ca="1" si="36"/>
        <v>0.87000000000000055</v>
      </c>
      <c r="D91" s="306">
        <f t="shared" ca="1" si="37"/>
        <v>8.1288195493704993</v>
      </c>
      <c r="E91" s="307">
        <f t="shared" ca="1" si="38"/>
        <v>72.606368552290149</v>
      </c>
      <c r="F91" s="304">
        <f t="shared" ca="1" si="39"/>
        <v>73.059992209260571</v>
      </c>
      <c r="G91" s="306">
        <f t="shared" ca="1" si="40"/>
        <v>6.2696204032472167</v>
      </c>
      <c r="H91" s="307">
        <f t="shared" ca="1" si="41"/>
        <v>63.468244743991242</v>
      </c>
      <c r="I91" s="304">
        <f t="shared" ca="1" si="42"/>
        <v>63.777160730813236</v>
      </c>
      <c r="J91" s="306">
        <f t="shared" ca="1" si="43"/>
        <v>2.5477912663410853</v>
      </c>
      <c r="K91" s="307">
        <f t="shared" ca="1" si="44"/>
        <v>27.228085323331861</v>
      </c>
      <c r="L91" s="304">
        <f t="shared" ca="1" si="29"/>
        <v>27.347026725249016</v>
      </c>
      <c r="M91" s="306">
        <f t="shared" ca="1" si="45"/>
        <v>1.4723321954791475</v>
      </c>
      <c r="N91" s="304">
        <f t="shared" ca="1" si="46"/>
        <v>84.358420842185652</v>
      </c>
      <c r="P91" s="310">
        <f t="shared" ca="1" si="47"/>
        <v>6</v>
      </c>
      <c r="Q91" s="304">
        <f t="shared" ca="1" si="48"/>
        <v>1019.2228070175438</v>
      </c>
      <c r="R91" s="306">
        <f t="shared" ca="1" si="49"/>
        <v>0.51056158505982496</v>
      </c>
      <c r="S91" s="307">
        <f t="shared" ca="1" si="50"/>
        <v>12.063322972674611</v>
      </c>
      <c r="T91" s="304">
        <f t="shared" ca="1" si="30"/>
        <v>118.34119836193794</v>
      </c>
      <c r="U91" s="311">
        <f t="shared" ca="1" si="31"/>
        <v>0</v>
      </c>
      <c r="V91" s="306">
        <f t="shared" ca="1" si="32"/>
        <v>1.2216690942571804</v>
      </c>
      <c r="W91" s="304">
        <f t="shared" ca="1" si="33"/>
        <v>20.65247166276059</v>
      </c>
      <c r="Y91" s="314" t="str">
        <f t="shared" ca="1" si="51"/>
        <v/>
      </c>
      <c r="Z91" s="315" t="str">
        <f t="shared" ca="1" si="52"/>
        <v/>
      </c>
      <c r="AA91" s="316" t="str">
        <f t="shared" ca="1" si="53"/>
        <v/>
      </c>
      <c r="AC91" s="310" t="e">
        <f t="shared" ca="1" si="54"/>
        <v>#N/A</v>
      </c>
      <c r="AD91" s="323" t="e">
        <f t="shared" ca="1" si="55"/>
        <v>#N/A</v>
      </c>
      <c r="AE91" s="324">
        <f t="shared" ca="1" si="34"/>
        <v>27.228085323331861</v>
      </c>
      <c r="AG91" s="306">
        <f t="shared" ca="1" si="56"/>
        <v>73.053646636444711</v>
      </c>
      <c r="AH91" s="304">
        <f t="shared" ca="1" si="57"/>
        <v>82.816275650461051</v>
      </c>
    </row>
    <row r="92" spans="1:34" x14ac:dyDescent="0.25">
      <c r="A92" s="347">
        <f t="shared" ca="1" si="35"/>
        <v>0.01</v>
      </c>
      <c r="B92" s="304">
        <f t="shared" ca="1" si="36"/>
        <v>0.88000000000000056</v>
      </c>
      <c r="D92" s="306">
        <f t="shared" ca="1" si="37"/>
        <v>8.1367926998051932</v>
      </c>
      <c r="E92" s="307">
        <f t="shared" ca="1" si="38"/>
        <v>72.559891203442575</v>
      </c>
      <c r="F92" s="304">
        <f t="shared" ca="1" si="39"/>
        <v>73.014691719509614</v>
      </c>
      <c r="G92" s="306">
        <f t="shared" ca="1" si="40"/>
        <v>6.3509883302452685</v>
      </c>
      <c r="H92" s="307">
        <f t="shared" ca="1" si="41"/>
        <v>64.193843656025663</v>
      </c>
      <c r="I92" s="304">
        <f t="shared" ca="1" si="42"/>
        <v>64.507244679223263</v>
      </c>
      <c r="J92" s="306">
        <f t="shared" ca="1" si="43"/>
        <v>2.6108943100085478</v>
      </c>
      <c r="K92" s="307">
        <f t="shared" ca="1" si="44"/>
        <v>27.866395765331944</v>
      </c>
      <c r="L92" s="304">
        <f t="shared" ca="1" si="29"/>
        <v>27.988440150321797</v>
      </c>
      <c r="M92" s="306">
        <f t="shared" ca="1" si="45"/>
        <v>1.4721826970660179</v>
      </c>
      <c r="N92" s="304">
        <f t="shared" ca="1" si="46"/>
        <v>84.349855214069422</v>
      </c>
      <c r="P92" s="310">
        <f t="shared" ca="1" si="47"/>
        <v>6</v>
      </c>
      <c r="Q92" s="304">
        <f t="shared" ca="1" si="48"/>
        <v>1018.7210526315789</v>
      </c>
      <c r="R92" s="306">
        <f t="shared" ca="1" si="49"/>
        <v>0.51031024010085713</v>
      </c>
      <c r="S92" s="307">
        <f t="shared" ca="1" si="50"/>
        <v>12.058219870273602</v>
      </c>
      <c r="T92" s="304">
        <f t="shared" ca="1" si="30"/>
        <v>118.29113692738404</v>
      </c>
      <c r="U92" s="311">
        <f t="shared" ca="1" si="31"/>
        <v>0</v>
      </c>
      <c r="V92" s="306">
        <f t="shared" ca="1" si="32"/>
        <v>1.2215911161840236</v>
      </c>
      <c r="W92" s="304">
        <f t="shared" ca="1" si="33"/>
        <v>21.126664487086604</v>
      </c>
      <c r="Y92" s="314" t="str">
        <f t="shared" ca="1" si="51"/>
        <v/>
      </c>
      <c r="Z92" s="315" t="str">
        <f t="shared" ca="1" si="52"/>
        <v/>
      </c>
      <c r="AA92" s="316" t="str">
        <f t="shared" ca="1" si="53"/>
        <v/>
      </c>
      <c r="AC92" s="310" t="e">
        <f t="shared" ca="1" si="54"/>
        <v>#N/A</v>
      </c>
      <c r="AD92" s="323" t="e">
        <f t="shared" ca="1" si="55"/>
        <v>#N/A</v>
      </c>
      <c r="AE92" s="324">
        <f t="shared" ca="1" si="34"/>
        <v>27.866395765331944</v>
      </c>
      <c r="AG92" s="306">
        <f t="shared" ca="1" si="56"/>
        <v>73.008322754881419</v>
      </c>
      <c r="AH92" s="304">
        <f t="shared" ca="1" si="57"/>
        <v>82.770806280394353</v>
      </c>
    </row>
    <row r="93" spans="1:34" x14ac:dyDescent="0.25">
      <c r="A93" s="347">
        <f t="shared" ca="1" si="35"/>
        <v>0.01</v>
      </c>
      <c r="B93" s="304">
        <f t="shared" ca="1" si="36"/>
        <v>0.89000000000000057</v>
      </c>
      <c r="D93" s="306">
        <f t="shared" ca="1" si="37"/>
        <v>8.1445834214248798</v>
      </c>
      <c r="E93" s="307">
        <f t="shared" ca="1" si="38"/>
        <v>72.512953154948761</v>
      </c>
      <c r="F93" s="304">
        <f t="shared" ca="1" si="39"/>
        <v>72.968915397999055</v>
      </c>
      <c r="G93" s="306">
        <f t="shared" ca="1" si="40"/>
        <v>6.4324341644595178</v>
      </c>
      <c r="H93" s="307">
        <f t="shared" ca="1" si="41"/>
        <v>64.918973187575148</v>
      </c>
      <c r="I93" s="304">
        <f t="shared" ca="1" si="42"/>
        <v>65.236870625507535</v>
      </c>
      <c r="J93" s="306">
        <f t="shared" ca="1" si="43"/>
        <v>2.6748114224820716</v>
      </c>
      <c r="K93" s="307">
        <f t="shared" ca="1" si="44"/>
        <v>28.51195984954995</v>
      </c>
      <c r="L93" s="304">
        <f t="shared" ca="1" si="29"/>
        <v>28.637151929062167</v>
      </c>
      <c r="M93" s="306">
        <f t="shared" ca="1" si="45"/>
        <v>1.4720346469638013</v>
      </c>
      <c r="N93" s="304">
        <f t="shared" ca="1" si="46"/>
        <v>84.341372568055931</v>
      </c>
      <c r="P93" s="310">
        <f t="shared" ca="1" si="47"/>
        <v>6</v>
      </c>
      <c r="Q93" s="304">
        <f t="shared" ca="1" si="48"/>
        <v>1018.219298245614</v>
      </c>
      <c r="R93" s="306">
        <f t="shared" ca="1" si="49"/>
        <v>0.51005889514188918</v>
      </c>
      <c r="S93" s="307">
        <f t="shared" ca="1" si="50"/>
        <v>12.053119281322182</v>
      </c>
      <c r="T93" s="304">
        <f t="shared" ca="1" si="30"/>
        <v>118.24110014977062</v>
      </c>
      <c r="U93" s="311">
        <f t="shared" ca="1" si="31"/>
        <v>0</v>
      </c>
      <c r="V93" s="306">
        <f t="shared" ca="1" si="32"/>
        <v>1.2215122570377952</v>
      </c>
      <c r="W93" s="304">
        <f t="shared" ca="1" si="33"/>
        <v>21.605889696654351</v>
      </c>
      <c r="Y93" s="314" t="str">
        <f t="shared" ca="1" si="51"/>
        <v/>
      </c>
      <c r="Z93" s="315" t="str">
        <f t="shared" ca="1" si="52"/>
        <v/>
      </c>
      <c r="AA93" s="316" t="str">
        <f t="shared" ca="1" si="53"/>
        <v/>
      </c>
      <c r="AC93" s="310" t="e">
        <f t="shared" ca="1" si="54"/>
        <v>#N/A</v>
      </c>
      <c r="AD93" s="323" t="e">
        <f t="shared" ca="1" si="55"/>
        <v>#N/A</v>
      </c>
      <c r="AE93" s="324">
        <f t="shared" ca="1" si="34"/>
        <v>28.51195984954995</v>
      </c>
      <c r="AG93" s="306">
        <f t="shared" ca="1" si="56"/>
        <v>72.962523132624128</v>
      </c>
      <c r="AH93" s="304">
        <f t="shared" ca="1" si="57"/>
        <v>82.724862376799621</v>
      </c>
    </row>
    <row r="94" spans="1:34" x14ac:dyDescent="0.25">
      <c r="A94" s="347">
        <f t="shared" ca="1" si="35"/>
        <v>0.01</v>
      </c>
      <c r="B94" s="304">
        <f t="shared" ca="1" si="36"/>
        <v>0.90000000000000058</v>
      </c>
      <c r="D94" s="306">
        <f t="shared" ca="1" si="37"/>
        <v>8.1521944078749371</v>
      </c>
      <c r="E94" s="307">
        <f t="shared" ca="1" si="38"/>
        <v>72.465554891621977</v>
      </c>
      <c r="F94" s="304">
        <f t="shared" ca="1" si="39"/>
        <v>72.922663962683544</v>
      </c>
      <c r="G94" s="306">
        <f t="shared" ca="1" si="40"/>
        <v>6.5139561085382676</v>
      </c>
      <c r="H94" s="307">
        <f t="shared" ca="1" si="41"/>
        <v>65.643628736491365</v>
      </c>
      <c r="I94" s="304">
        <f t="shared" ca="1" si="42"/>
        <v>65.966033819521684</v>
      </c>
      <c r="J94" s="306">
        <f t="shared" ca="1" si="43"/>
        <v>2.7395433738470607</v>
      </c>
      <c r="K94" s="307">
        <f t="shared" ca="1" si="44"/>
        <v>29.164772859170281</v>
      </c>
      <c r="L94" s="304">
        <f t="shared" ca="1" si="29"/>
        <v>29.293157457402653</v>
      </c>
      <c r="M94" s="306">
        <f t="shared" ca="1" si="45"/>
        <v>1.4718880142522215</v>
      </c>
      <c r="N94" s="304">
        <f t="shared" ca="1" si="46"/>
        <v>84.332971132543861</v>
      </c>
      <c r="P94" s="310">
        <f t="shared" ca="1" si="47"/>
        <v>6</v>
      </c>
      <c r="Q94" s="304">
        <f t="shared" ca="1" si="48"/>
        <v>1017.7175438596491</v>
      </c>
      <c r="R94" s="306">
        <f t="shared" ca="1" si="49"/>
        <v>0.50980755018292134</v>
      </c>
      <c r="S94" s="307">
        <f t="shared" ca="1" si="50"/>
        <v>12.048021205820353</v>
      </c>
      <c r="T94" s="304">
        <f t="shared" ca="1" si="30"/>
        <v>118.19108802909767</v>
      </c>
      <c r="U94" s="311">
        <f t="shared" ca="1" si="31"/>
        <v>0</v>
      </c>
      <c r="V94" s="306">
        <f t="shared" ca="1" si="32"/>
        <v>1.2214325175654959</v>
      </c>
      <c r="W94" s="304">
        <f t="shared" ca="1" si="33"/>
        <v>22.090131915899512</v>
      </c>
      <c r="Y94" s="314" t="str">
        <f t="shared" ca="1" si="51"/>
        <v/>
      </c>
      <c r="Z94" s="315" t="str">
        <f t="shared" ca="1" si="52"/>
        <v/>
      </c>
      <c r="AA94" s="316" t="str">
        <f t="shared" ca="1" si="53"/>
        <v/>
      </c>
      <c r="AC94" s="310" t="e">
        <f t="shared" ca="1" si="54"/>
        <v>#N/A</v>
      </c>
      <c r="AD94" s="323" t="e">
        <f t="shared" ca="1" si="55"/>
        <v>#N/A</v>
      </c>
      <c r="AE94" s="324">
        <f t="shared" ca="1" si="34"/>
        <v>29.164772859170281</v>
      </c>
      <c r="AG94" s="306">
        <f t="shared" ca="1" si="56"/>
        <v>72.916248484129142</v>
      </c>
      <c r="AH94" s="304">
        <f t="shared" ca="1" si="57"/>
        <v>82.678444629710398</v>
      </c>
    </row>
    <row r="95" spans="1:34" x14ac:dyDescent="0.25">
      <c r="A95" s="347">
        <f t="shared" ca="1" si="35"/>
        <v>0.01</v>
      </c>
      <c r="B95" s="304">
        <f t="shared" ca="1" si="36"/>
        <v>0.91000000000000059</v>
      </c>
      <c r="D95" s="306">
        <f t="shared" ca="1" si="37"/>
        <v>8.1596282677208798</v>
      </c>
      <c r="E95" s="307">
        <f t="shared" ca="1" si="38"/>
        <v>72.41769691861559</v>
      </c>
      <c r="F95" s="304">
        <f t="shared" ca="1" si="39"/>
        <v>72.875938144656871</v>
      </c>
      <c r="G95" s="306">
        <f t="shared" ca="1" si="40"/>
        <v>6.5955523912154765</v>
      </c>
      <c r="H95" s="307">
        <f t="shared" ca="1" si="41"/>
        <v>66.367805705677526</v>
      </c>
      <c r="I95" s="304">
        <f t="shared" ca="1" si="42"/>
        <v>66.694729518394709</v>
      </c>
      <c r="J95" s="306">
        <f t="shared" ca="1" si="43"/>
        <v>2.8050909163458293</v>
      </c>
      <c r="K95" s="307">
        <f t="shared" ca="1" si="44"/>
        <v>29.824830031381126</v>
      </c>
      <c r="L95" s="304">
        <f t="shared" ca="1" si="29"/>
        <v>29.956452083812252</v>
      </c>
      <c r="M95" s="306">
        <f t="shared" ca="1" si="45"/>
        <v>1.4717427689989708</v>
      </c>
      <c r="N95" s="304">
        <f t="shared" ca="1" si="46"/>
        <v>84.324649192538288</v>
      </c>
      <c r="P95" s="310">
        <f t="shared" ca="1" si="47"/>
        <v>6</v>
      </c>
      <c r="Q95" s="304">
        <f t="shared" ca="1" si="48"/>
        <v>1017.2157894736841</v>
      </c>
      <c r="R95" s="306">
        <f t="shared" ca="1" si="49"/>
        <v>0.5095562052239534</v>
      </c>
      <c r="S95" s="307">
        <f t="shared" ca="1" si="50"/>
        <v>12.042925643768113</v>
      </c>
      <c r="T95" s="304">
        <f t="shared" ca="1" si="30"/>
        <v>118.14110056536519</v>
      </c>
      <c r="U95" s="311">
        <f t="shared" ca="1" si="31"/>
        <v>0</v>
      </c>
      <c r="V95" s="306">
        <f t="shared" ca="1" si="32"/>
        <v>1.2213518985214824</v>
      </c>
      <c r="W95" s="304">
        <f t="shared" ca="1" si="33"/>
        <v>22.579375622761138</v>
      </c>
      <c r="Y95" s="314" t="str">
        <f t="shared" ca="1" si="51"/>
        <v/>
      </c>
      <c r="Z95" s="315" t="str">
        <f t="shared" ca="1" si="52"/>
        <v/>
      </c>
      <c r="AA95" s="316" t="str">
        <f t="shared" ca="1" si="53"/>
        <v/>
      </c>
      <c r="AC95" s="310" t="e">
        <f t="shared" ca="1" si="54"/>
        <v>#N/A</v>
      </c>
      <c r="AD95" s="323" t="e">
        <f t="shared" ca="1" si="55"/>
        <v>#N/A</v>
      </c>
      <c r="AE95" s="324">
        <f t="shared" ca="1" si="34"/>
        <v>29.824830031381126</v>
      </c>
      <c r="AG95" s="306">
        <f t="shared" ca="1" si="56"/>
        <v>72.869499537089695</v>
      </c>
      <c r="AH95" s="304">
        <f t="shared" ca="1" si="57"/>
        <v>82.631553743150036</v>
      </c>
    </row>
    <row r="96" spans="1:34" x14ac:dyDescent="0.25">
      <c r="A96" s="347">
        <f t="shared" ca="1" si="35"/>
        <v>0.01</v>
      </c>
      <c r="B96" s="304">
        <f t="shared" ca="1" si="36"/>
        <v>0.9200000000000006</v>
      </c>
      <c r="D96" s="306">
        <f t="shared" ca="1" si="37"/>
        <v>8.1668875282051854</v>
      </c>
      <c r="E96" s="307">
        <f t="shared" ca="1" si="38"/>
        <v>72.369379761117401</v>
      </c>
      <c r="F96" s="304">
        <f t="shared" ca="1" si="39"/>
        <v>72.82873868815237</v>
      </c>
      <c r="G96" s="306">
        <f t="shared" ca="1" si="40"/>
        <v>6.6772212664975283</v>
      </c>
      <c r="H96" s="307">
        <f t="shared" ca="1" si="41"/>
        <v>67.091499503288702</v>
      </c>
      <c r="I96" s="304">
        <f t="shared" ca="1" si="42"/>
        <v>67.422952986661414</v>
      </c>
      <c r="J96" s="306">
        <f t="shared" ca="1" si="43"/>
        <v>2.8714547846343943</v>
      </c>
      <c r="K96" s="307">
        <f t="shared" ca="1" si="44"/>
        <v>30.492126557425955</v>
      </c>
      <c r="L96" s="304">
        <f t="shared" ca="1" si="29"/>
        <v>30.627031109369401</v>
      </c>
      <c r="M96" s="306">
        <f t="shared" ca="1" si="45"/>
        <v>1.4715988822175829</v>
      </c>
      <c r="N96" s="304">
        <f t="shared" ca="1" si="46"/>
        <v>84.31640508723703</v>
      </c>
      <c r="P96" s="310">
        <f t="shared" ca="1" si="47"/>
        <v>6</v>
      </c>
      <c r="Q96" s="304">
        <f t="shared" ca="1" si="48"/>
        <v>1016.7140350877193</v>
      </c>
      <c r="R96" s="306">
        <f t="shared" ca="1" si="49"/>
        <v>0.50930486026498556</v>
      </c>
      <c r="S96" s="307">
        <f t="shared" ca="1" si="50"/>
        <v>12.037832595165463</v>
      </c>
      <c r="T96" s="304">
        <f t="shared" ca="1" si="30"/>
        <v>118.0911377585732</v>
      </c>
      <c r="U96" s="311">
        <f t="shared" ca="1" si="31"/>
        <v>0</v>
      </c>
      <c r="V96" s="306">
        <f t="shared" ca="1" si="32"/>
        <v>1.2212704006674582</v>
      </c>
      <c r="W96" s="304">
        <f t="shared" ca="1" si="33"/>
        <v>23.073605149450678</v>
      </c>
      <c r="Y96" s="314" t="str">
        <f t="shared" ca="1" si="51"/>
        <v/>
      </c>
      <c r="Z96" s="315" t="str">
        <f t="shared" ca="1" si="52"/>
        <v/>
      </c>
      <c r="AA96" s="316" t="str">
        <f t="shared" ca="1" si="53"/>
        <v/>
      </c>
      <c r="AC96" s="310" t="e">
        <f t="shared" ca="1" si="54"/>
        <v>#N/A</v>
      </c>
      <c r="AD96" s="323" t="e">
        <f t="shared" ca="1" si="55"/>
        <v>#N/A</v>
      </c>
      <c r="AE96" s="324">
        <f t="shared" ca="1" si="34"/>
        <v>30.492126557425955</v>
      </c>
      <c r="AG96" s="306">
        <f t="shared" ca="1" si="56"/>
        <v>72.822277032432197</v>
      </c>
      <c r="AH96" s="304">
        <f t="shared" ca="1" si="57"/>
        <v>82.58419043509663</v>
      </c>
    </row>
    <row r="97" spans="1:34" x14ac:dyDescent="0.25">
      <c r="A97" s="347">
        <f t="shared" ca="1" si="35"/>
        <v>0.01</v>
      </c>
      <c r="B97" s="304">
        <f t="shared" ca="1" si="36"/>
        <v>0.9300000000000006</v>
      </c>
      <c r="D97" s="306">
        <f t="shared" ca="1" si="37"/>
        <v>8.1739746388021572</v>
      </c>
      <c r="E97" s="307">
        <f t="shared" ca="1" si="38"/>
        <v>72.320603964057327</v>
      </c>
      <c r="F97" s="304">
        <f t="shared" ca="1" si="39"/>
        <v>72.781066350540684</v>
      </c>
      <c r="G97" s="306">
        <f t="shared" ca="1" si="40"/>
        <v>6.7589610128855497</v>
      </c>
      <c r="H97" s="307">
        <f t="shared" ca="1" si="41"/>
        <v>67.814705542929275</v>
      </c>
      <c r="I97" s="304">
        <f t="shared" ca="1" si="42"/>
        <v>68.150699496394822</v>
      </c>
      <c r="J97" s="306">
        <f t="shared" ca="1" si="43"/>
        <v>2.9386356960313096</v>
      </c>
      <c r="K97" s="307">
        <f t="shared" ca="1" si="44"/>
        <v>31.166657582657045</v>
      </c>
      <c r="L97" s="304">
        <f t="shared" ca="1" si="29"/>
        <v>31.304889787836395</v>
      </c>
      <c r="M97" s="306">
        <f t="shared" ca="1" si="45"/>
        <v>1.4714563258275433</v>
      </c>
      <c r="N97" s="304">
        <f t="shared" ca="1" si="46"/>
        <v>84.308237207745137</v>
      </c>
      <c r="P97" s="310">
        <f t="shared" ca="1" si="47"/>
        <v>6</v>
      </c>
      <c r="Q97" s="304">
        <f t="shared" ca="1" si="48"/>
        <v>1016.2122807017544</v>
      </c>
      <c r="R97" s="306">
        <f t="shared" ca="1" si="49"/>
        <v>0.50905351530601761</v>
      </c>
      <c r="S97" s="307">
        <f t="shared" ca="1" si="50"/>
        <v>12.032742060012403</v>
      </c>
      <c r="T97" s="304">
        <f t="shared" ca="1" si="30"/>
        <v>118.04119960872168</v>
      </c>
      <c r="U97" s="311">
        <f t="shared" ca="1" si="31"/>
        <v>0</v>
      </c>
      <c r="V97" s="306">
        <f t="shared" ca="1" si="32"/>
        <v>1.221188024772456</v>
      </c>
      <c r="W97" s="304">
        <f t="shared" ca="1" si="33"/>
        <v>23.572804683229858</v>
      </c>
      <c r="Y97" s="314" t="str">
        <f t="shared" ca="1" si="51"/>
        <v/>
      </c>
      <c r="Z97" s="315" t="str">
        <f t="shared" ca="1" si="52"/>
        <v/>
      </c>
      <c r="AA97" s="316" t="str">
        <f t="shared" ca="1" si="53"/>
        <v/>
      </c>
      <c r="AC97" s="310" t="e">
        <f t="shared" ca="1" si="54"/>
        <v>#N/A</v>
      </c>
      <c r="AD97" s="323" t="e">
        <f t="shared" ca="1" si="55"/>
        <v>#N/A</v>
      </c>
      <c r="AE97" s="324">
        <f t="shared" ca="1" si="34"/>
        <v>31.166657582657045</v>
      </c>
      <c r="AG97" s="306">
        <f t="shared" ca="1" si="56"/>
        <v>72.774581724310153</v>
      </c>
      <c r="AH97" s="304">
        <f t="shared" ca="1" si="57"/>
        <v>82.536355437447142</v>
      </c>
    </row>
    <row r="98" spans="1:34" x14ac:dyDescent="0.25">
      <c r="A98" s="347">
        <f t="shared" ca="1" si="35"/>
        <v>0.01</v>
      </c>
      <c r="B98" s="304">
        <f t="shared" ca="1" si="36"/>
        <v>0.94000000000000061</v>
      </c>
      <c r="D98" s="306">
        <f t="shared" ca="1" si="37"/>
        <v>8.1808919745834867</v>
      </c>
      <c r="E98" s="307">
        <f t="shared" ca="1" si="38"/>
        <v>72.271370091827535</v>
      </c>
      <c r="F98" s="304">
        <f t="shared" ca="1" si="39"/>
        <v>72.732921902325003</v>
      </c>
      <c r="G98" s="306">
        <f t="shared" ca="1" si="40"/>
        <v>6.8407699326313844</v>
      </c>
      <c r="H98" s="307">
        <f t="shared" ca="1" si="41"/>
        <v>68.537419243847552</v>
      </c>
      <c r="I98" s="304">
        <f t="shared" ca="1" si="42"/>
        <v>68.877964327338532</v>
      </c>
      <c r="J98" s="306">
        <f t="shared" ca="1" si="43"/>
        <v>3.0066343507588944</v>
      </c>
      <c r="K98" s="307">
        <f t="shared" ca="1" si="44"/>
        <v>31.848418206590928</v>
      </c>
      <c r="L98" s="304">
        <f t="shared" ca="1" si="29"/>
        <v>31.990023325735102</v>
      </c>
      <c r="M98" s="306">
        <f t="shared" ca="1" si="45"/>
        <v>1.4713150726164941</v>
      </c>
      <c r="N98" s="304">
        <f t="shared" ca="1" si="46"/>
        <v>84.300143994909348</v>
      </c>
      <c r="P98" s="310">
        <f t="shared" ca="1" si="47"/>
        <v>6</v>
      </c>
      <c r="Q98" s="304">
        <f t="shared" ca="1" si="48"/>
        <v>1015.7105263157895</v>
      </c>
      <c r="R98" s="306">
        <f t="shared" ca="1" si="49"/>
        <v>0.50880217034704978</v>
      </c>
      <c r="S98" s="307">
        <f t="shared" ca="1" si="50"/>
        <v>12.027654038308933</v>
      </c>
      <c r="T98" s="304">
        <f t="shared" ca="1" si="30"/>
        <v>117.99128611581064</v>
      </c>
      <c r="U98" s="311">
        <f t="shared" ca="1" si="31"/>
        <v>0</v>
      </c>
      <c r="V98" s="306">
        <f t="shared" ca="1" si="32"/>
        <v>1.2211047716128269</v>
      </c>
      <c r="W98" s="304">
        <f t="shared" ca="1" si="33"/>
        <v>24.076958267197721</v>
      </c>
      <c r="Y98" s="314" t="str">
        <f t="shared" ca="1" si="51"/>
        <v/>
      </c>
      <c r="Z98" s="315" t="str">
        <f t="shared" ca="1" si="52"/>
        <v/>
      </c>
      <c r="AA98" s="316" t="str">
        <f t="shared" ca="1" si="53"/>
        <v/>
      </c>
      <c r="AC98" s="310" t="e">
        <f t="shared" ca="1" si="54"/>
        <v>#N/A</v>
      </c>
      <c r="AD98" s="323" t="e">
        <f t="shared" ca="1" si="55"/>
        <v>#N/A</v>
      </c>
      <c r="AE98" s="324">
        <f t="shared" ca="1" si="34"/>
        <v>31.848418206590928</v>
      </c>
      <c r="AG98" s="306">
        <f t="shared" ca="1" si="56"/>
        <v>72.72641438009569</v>
      </c>
      <c r="AH98" s="304">
        <f t="shared" ca="1" si="57"/>
        <v>82.488049495980718</v>
      </c>
    </row>
    <row r="99" spans="1:34" x14ac:dyDescent="0.25">
      <c r="A99" s="347">
        <f t="shared" ca="1" si="35"/>
        <v>0.01</v>
      </c>
      <c r="B99" s="304">
        <f t="shared" ca="1" si="36"/>
        <v>0.95000000000000062</v>
      </c>
      <c r="D99" s="306">
        <f t="shared" ca="1" si="37"/>
        <v>8.1876418394065826</v>
      </c>
      <c r="E99" s="307">
        <f t="shared" ca="1" si="38"/>
        <v>72.221678728014069</v>
      </c>
      <c r="F99" s="304">
        <f t="shared" ca="1" si="39"/>
        <v>72.684306127133667</v>
      </c>
      <c r="G99" s="306">
        <f t="shared" ca="1" si="40"/>
        <v>6.9226463510254499</v>
      </c>
      <c r="H99" s="307">
        <f t="shared" ca="1" si="41"/>
        <v>69.259636031127698</v>
      </c>
      <c r="I99" s="304">
        <f t="shared" ca="1" si="42"/>
        <v>69.604742767038857</v>
      </c>
      <c r="J99" s="306">
        <f t="shared" ca="1" si="43"/>
        <v>3.0754514321771786</v>
      </c>
      <c r="K99" s="307">
        <f t="shared" ca="1" si="44"/>
        <v>32.537403482965807</v>
      </c>
      <c r="L99" s="304">
        <f t="shared" ca="1" si="29"/>
        <v>32.682426882424082</v>
      </c>
      <c r="M99" s="306">
        <f t="shared" ca="1" si="45"/>
        <v>1.4711750962044012</v>
      </c>
      <c r="N99" s="304">
        <f t="shared" ca="1" si="46"/>
        <v>84.292123937265046</v>
      </c>
      <c r="P99" s="310">
        <f t="shared" ca="1" si="47"/>
        <v>6</v>
      </c>
      <c r="Q99" s="304">
        <f t="shared" ca="1" si="48"/>
        <v>1015.2087719298245</v>
      </c>
      <c r="R99" s="306">
        <f t="shared" ca="1" si="49"/>
        <v>0.50855082538808183</v>
      </c>
      <c r="S99" s="307">
        <f t="shared" ca="1" si="50"/>
        <v>12.022568530055052</v>
      </c>
      <c r="T99" s="304">
        <f t="shared" ca="1" si="30"/>
        <v>117.94139727984006</v>
      </c>
      <c r="U99" s="311">
        <f t="shared" ca="1" si="31"/>
        <v>0</v>
      </c>
      <c r="V99" s="306">
        <f t="shared" ca="1" si="32"/>
        <v>1.2210206419722245</v>
      </c>
      <c r="W99" s="304">
        <f t="shared" ca="1" si="33"/>
        <v>24.586049801086283</v>
      </c>
      <c r="Y99" s="314" t="str">
        <f t="shared" ca="1" si="51"/>
        <v/>
      </c>
      <c r="Z99" s="315" t="str">
        <f t="shared" ca="1" si="52"/>
        <v/>
      </c>
      <c r="AA99" s="316" t="str">
        <f t="shared" ca="1" si="53"/>
        <v/>
      </c>
      <c r="AC99" s="310" t="e">
        <f t="shared" ca="1" si="54"/>
        <v>#N/A</v>
      </c>
      <c r="AD99" s="323" t="e">
        <f t="shared" ca="1" si="55"/>
        <v>#N/A</v>
      </c>
      <c r="AE99" s="324">
        <f t="shared" ca="1" si="34"/>
        <v>32.537403482965807</v>
      </c>
      <c r="AG99" s="306">
        <f t="shared" ca="1" si="56"/>
        <v>72.677775780368577</v>
      </c>
      <c r="AH99" s="304">
        <f t="shared" ca="1" si="57"/>
        <v>82.439273370321004</v>
      </c>
    </row>
    <row r="100" spans="1:34" x14ac:dyDescent="0.25">
      <c r="A100" s="347">
        <f t="shared" ca="1" si="35"/>
        <v>0.01</v>
      </c>
      <c r="B100" s="304">
        <f t="shared" ca="1" si="36"/>
        <v>0.96000000000000063</v>
      </c>
      <c r="D100" s="306">
        <f t="shared" ca="1" si="37"/>
        <v>8.1942264689369413</v>
      </c>
      <c r="E100" s="307">
        <f t="shared" ca="1" si="38"/>
        <v>72.171530475139406</v>
      </c>
      <c r="F100" s="304">
        <f t="shared" ca="1" si="39"/>
        <v>72.635219821710479</v>
      </c>
      <c r="G100" s="306">
        <f t="shared" ca="1" si="40"/>
        <v>7.0045886157148196</v>
      </c>
      <c r="H100" s="307">
        <f t="shared" ca="1" si="41"/>
        <v>69.981351335879097</v>
      </c>
      <c r="I100" s="304">
        <f t="shared" ca="1" si="42"/>
        <v>70.331030110976968</v>
      </c>
      <c r="J100" s="306">
        <f t="shared" ca="1" si="43"/>
        <v>3.14508760701088</v>
      </c>
      <c r="K100" s="307">
        <f t="shared" ca="1" si="44"/>
        <v>33.233608419800838</v>
      </c>
      <c r="L100" s="304">
        <f t="shared" ca="1" si="29"/>
        <v>33.382095570176993</v>
      </c>
      <c r="M100" s="306">
        <f t="shared" ca="1" si="45"/>
        <v>1.471036371009564</v>
      </c>
      <c r="N100" s="304">
        <f t="shared" ca="1" si="46"/>
        <v>84.284175569088745</v>
      </c>
      <c r="P100" s="310">
        <f t="shared" ca="1" si="47"/>
        <v>6</v>
      </c>
      <c r="Q100" s="304">
        <f t="shared" ca="1" si="48"/>
        <v>1014.7070175438596</v>
      </c>
      <c r="R100" s="306">
        <f t="shared" ca="1" si="49"/>
        <v>0.50829948042911399</v>
      </c>
      <c r="S100" s="307">
        <f t="shared" ca="1" si="50"/>
        <v>12.017485535250762</v>
      </c>
      <c r="T100" s="304">
        <f t="shared" ca="1" si="30"/>
        <v>117.89153310080998</v>
      </c>
      <c r="U100" s="311">
        <f t="shared" ca="1" si="31"/>
        <v>0</v>
      </c>
      <c r="V100" s="306">
        <f t="shared" ca="1" si="32"/>
        <v>1.2209356366415911</v>
      </c>
      <c r="W100" s="304">
        <f t="shared" ca="1" si="33"/>
        <v>25.100063042065205</v>
      </c>
      <c r="Y100" s="314" t="str">
        <f t="shared" ca="1" si="51"/>
        <v/>
      </c>
      <c r="Z100" s="315" t="str">
        <f t="shared" ca="1" si="52"/>
        <v/>
      </c>
      <c r="AA100" s="316" t="str">
        <f t="shared" ca="1" si="53"/>
        <v/>
      </c>
      <c r="AC100" s="310" t="e">
        <f t="shared" ca="1" si="54"/>
        <v>#N/A</v>
      </c>
      <c r="AD100" s="323" t="e">
        <f t="shared" ca="1" si="55"/>
        <v>#N/A</v>
      </c>
      <c r="AE100" s="324">
        <f t="shared" ca="1" si="34"/>
        <v>33.233608419800838</v>
      </c>
      <c r="AG100" s="306">
        <f t="shared" ca="1" si="56"/>
        <v>72.628666718903276</v>
      </c>
      <c r="AH100" s="304">
        <f t="shared" ca="1" si="57"/>
        <v>82.390027833897705</v>
      </c>
    </row>
    <row r="101" spans="1:34" x14ac:dyDescent="0.25">
      <c r="A101" s="347">
        <f t="shared" ca="1" si="35"/>
        <v>0.01</v>
      </c>
      <c r="B101" s="304">
        <f t="shared" ca="1" si="36"/>
        <v>0.97000000000000064</v>
      </c>
      <c r="D101" s="306">
        <f t="shared" ca="1" si="37"/>
        <v>8.2006480335145646</v>
      </c>
      <c r="E101" s="307">
        <f t="shared" ca="1" si="38"/>
        <v>72.120925954415029</v>
      </c>
      <c r="F101" s="304">
        <f t="shared" ca="1" si="39"/>
        <v>72.585663795902576</v>
      </c>
      <c r="G101" s="306">
        <f t="shared" ca="1" si="40"/>
        <v>7.0865950960499653</v>
      </c>
      <c r="H101" s="307">
        <f t="shared" ca="1" si="41"/>
        <v>70.70256059542325</v>
      </c>
      <c r="I101" s="304">
        <f t="shared" ca="1" si="42"/>
        <v>71.056821662700727</v>
      </c>
      <c r="J101" s="306">
        <f t="shared" ca="1" si="43"/>
        <v>3.215543525569704</v>
      </c>
      <c r="K101" s="307">
        <f t="shared" ca="1" si="44"/>
        <v>33.937027979457348</v>
      </c>
      <c r="L101" s="304">
        <f t="shared" ca="1" si="29"/>
        <v>34.089024454262464</v>
      </c>
      <c r="M101" s="306">
        <f t="shared" ca="1" si="45"/>
        <v>1.4708988722163527</v>
      </c>
      <c r="N101" s="304">
        <f t="shared" ca="1" si="46"/>
        <v>84.2762974685496</v>
      </c>
      <c r="P101" s="310">
        <f t="shared" ca="1" si="47"/>
        <v>6</v>
      </c>
      <c r="Q101" s="304">
        <f t="shared" ca="1" si="48"/>
        <v>1014.2052631578947</v>
      </c>
      <c r="R101" s="306">
        <f t="shared" ca="1" si="49"/>
        <v>0.50804813547014605</v>
      </c>
      <c r="S101" s="307">
        <f t="shared" ca="1" si="50"/>
        <v>12.01240505389606</v>
      </c>
      <c r="T101" s="304">
        <f t="shared" ca="1" si="30"/>
        <v>117.84169357872035</v>
      </c>
      <c r="U101" s="311">
        <f t="shared" ca="1" si="31"/>
        <v>0</v>
      </c>
      <c r="V101" s="306">
        <f t="shared" ca="1" si="32"/>
        <v>1.220849756419143</v>
      </c>
      <c r="W101" s="304">
        <f t="shared" ca="1" si="33"/>
        <v>25.61898160555501</v>
      </c>
      <c r="Y101" s="314" t="str">
        <f t="shared" ca="1" si="51"/>
        <v/>
      </c>
      <c r="Z101" s="315" t="str">
        <f t="shared" ca="1" si="52"/>
        <v/>
      </c>
      <c r="AA101" s="316" t="str">
        <f t="shared" ca="1" si="53"/>
        <v/>
      </c>
      <c r="AC101" s="310" t="e">
        <f t="shared" ca="1" si="54"/>
        <v>#N/A</v>
      </c>
      <c r="AD101" s="323" t="e">
        <f t="shared" ca="1" si="55"/>
        <v>#N/A</v>
      </c>
      <c r="AE101" s="324">
        <f t="shared" ca="1" si="34"/>
        <v>33.937027979457348</v>
      </c>
      <c r="AG101" s="306">
        <f t="shared" ca="1" si="56"/>
        <v>72.579088002653634</v>
      </c>
      <c r="AH101" s="304">
        <f t="shared" ca="1" si="57"/>
        <v>82.340313673907175</v>
      </c>
    </row>
    <row r="102" spans="1:34" x14ac:dyDescent="0.25">
      <c r="A102" s="347">
        <f t="shared" ca="1" si="35"/>
        <v>0.01</v>
      </c>
      <c r="B102" s="304">
        <f t="shared" ca="1" si="36"/>
        <v>0.98000000000000065</v>
      </c>
      <c r="D102" s="306">
        <f t="shared" ca="1" si="37"/>
        <v>8.2069086408741878</v>
      </c>
      <c r="E102" s="307">
        <f t="shared" ca="1" si="38"/>
        <v>72.069865805503511</v>
      </c>
      <c r="F102" s="304">
        <f t="shared" ca="1" si="39"/>
        <v>72.535638872646174</v>
      </c>
      <c r="G102" s="306">
        <f t="shared" ca="1" si="40"/>
        <v>7.1686641824587074</v>
      </c>
      <c r="H102" s="307">
        <f t="shared" ca="1" si="41"/>
        <v>71.423259253478292</v>
      </c>
      <c r="I102" s="304">
        <f t="shared" ca="1" si="42"/>
        <v>71.782112733956495</v>
      </c>
      <c r="J102" s="306">
        <f t="shared" ca="1" si="43"/>
        <v>3.2868198219622475</v>
      </c>
      <c r="K102" s="307">
        <f t="shared" ca="1" si="44"/>
        <v>34.647657078701855</v>
      </c>
      <c r="L102" s="304">
        <f t="shared" ca="1" si="29"/>
        <v>34.803208553025144</v>
      </c>
      <c r="M102" s="306">
        <f t="shared" ca="1" si="45"/>
        <v>1.4707625757445713</v>
      </c>
      <c r="N102" s="304">
        <f t="shared" ca="1" si="46"/>
        <v>84.268488255953997</v>
      </c>
      <c r="P102" s="310">
        <f t="shared" ca="1" si="47"/>
        <v>6</v>
      </c>
      <c r="Q102" s="304">
        <f t="shared" ca="1" si="48"/>
        <v>1013.7035087719298</v>
      </c>
      <c r="R102" s="306">
        <f t="shared" ca="1" si="49"/>
        <v>0.50779679051117821</v>
      </c>
      <c r="S102" s="307">
        <f t="shared" ca="1" si="50"/>
        <v>12.007327085990948</v>
      </c>
      <c r="T102" s="304">
        <f t="shared" ca="1" si="30"/>
        <v>117.79187871357121</v>
      </c>
      <c r="U102" s="311">
        <f t="shared" ca="1" si="31"/>
        <v>0</v>
      </c>
      <c r="V102" s="306">
        <f t="shared" ca="1" si="32"/>
        <v>1.2207630021103553</v>
      </c>
      <c r="W102" s="304">
        <f t="shared" ca="1" si="33"/>
        <v>26.142788966049114</v>
      </c>
      <c r="Y102" s="314" t="str">
        <f t="shared" ca="1" si="51"/>
        <v/>
      </c>
      <c r="Z102" s="315" t="str">
        <f t="shared" ca="1" si="52"/>
        <v/>
      </c>
      <c r="AA102" s="316" t="str">
        <f t="shared" ca="1" si="53"/>
        <v/>
      </c>
      <c r="AC102" s="310" t="e">
        <f t="shared" ca="1" si="54"/>
        <v>#N/A</v>
      </c>
      <c r="AD102" s="323" t="e">
        <f t="shared" ca="1" si="55"/>
        <v>#N/A</v>
      </c>
      <c r="AE102" s="324">
        <f t="shared" ca="1" si="34"/>
        <v>34.647657078701855</v>
      </c>
      <c r="AG102" s="306">
        <f t="shared" ca="1" si="56"/>
        <v>72.529040451735597</v>
      </c>
      <c r="AH102" s="304">
        <f t="shared" ca="1" si="57"/>
        <v>82.290131691272194</v>
      </c>
    </row>
    <row r="103" spans="1:34" x14ac:dyDescent="0.25">
      <c r="A103" s="347">
        <f t="shared" ca="1" si="35"/>
        <v>0.01</v>
      </c>
      <c r="B103" s="304">
        <f t="shared" ca="1" si="36"/>
        <v>0.99000000000000066</v>
      </c>
      <c r="D103" s="306">
        <f t="shared" ca="1" si="37"/>
        <v>8.2130103387280862</v>
      </c>
      <c r="E103" s="307">
        <f t="shared" ca="1" si="38"/>
        <v>72.018350686289452</v>
      </c>
      <c r="F103" s="304">
        <f t="shared" ca="1" si="39"/>
        <v>72.485145887950196</v>
      </c>
      <c r="G103" s="306">
        <f t="shared" ca="1" si="40"/>
        <v>7.2507942858459886</v>
      </c>
      <c r="H103" s="307">
        <f t="shared" ca="1" si="41"/>
        <v>72.143442760341188</v>
      </c>
      <c r="I103" s="304">
        <f t="shared" ca="1" si="42"/>
        <v>72.506898644820566</v>
      </c>
      <c r="J103" s="306">
        <f t="shared" ca="1" si="43"/>
        <v>3.3589171143037708</v>
      </c>
      <c r="K103" s="307">
        <f t="shared" ca="1" si="44"/>
        <v>35.365490588770953</v>
      </c>
      <c r="L103" s="304">
        <f t="shared" ca="1" si="29"/>
        <v>35.524642837968258</v>
      </c>
      <c r="M103" s="306">
        <f t="shared" ca="1" si="45"/>
        <v>1.4706274582203449</v>
      </c>
      <c r="N103" s="304">
        <f t="shared" ca="1" si="46"/>
        <v>84.260746592077567</v>
      </c>
      <c r="P103" s="310">
        <f t="shared" ca="1" si="47"/>
        <v>6</v>
      </c>
      <c r="Q103" s="304">
        <f t="shared" ca="1" si="48"/>
        <v>1013.2017543859648</v>
      </c>
      <c r="R103" s="306">
        <f t="shared" ca="1" si="49"/>
        <v>0.50754544555221026</v>
      </c>
      <c r="S103" s="307">
        <f t="shared" ca="1" si="50"/>
        <v>12.002251631535426</v>
      </c>
      <c r="T103" s="304">
        <f t="shared" ca="1" si="30"/>
        <v>117.74208850536253</v>
      </c>
      <c r="U103" s="311">
        <f t="shared" ca="1" si="31"/>
        <v>0</v>
      </c>
      <c r="V103" s="306">
        <f t="shared" ca="1" si="32"/>
        <v>1.2206753745279473</v>
      </c>
      <c r="W103" s="304">
        <f t="shared" ca="1" si="33"/>
        <v>26.671468457944329</v>
      </c>
      <c r="Y103" s="314" t="str">
        <f t="shared" ca="1" si="51"/>
        <v/>
      </c>
      <c r="Z103" s="315" t="str">
        <f t="shared" ca="1" si="52"/>
        <v/>
      </c>
      <c r="AA103" s="316" t="str">
        <f t="shared" ca="1" si="53"/>
        <v/>
      </c>
      <c r="AC103" s="310" t="e">
        <f t="shared" ca="1" si="54"/>
        <v>#N/A</v>
      </c>
      <c r="AD103" s="323" t="e">
        <f t="shared" ca="1" si="55"/>
        <v>#N/A</v>
      </c>
      <c r="AE103" s="324">
        <f t="shared" ca="1" si="34"/>
        <v>35.365490588770953</v>
      </c>
      <c r="AG103" s="306">
        <f t="shared" ca="1" si="56"/>
        <v>72.478524899407915</v>
      </c>
      <c r="AH103" s="304">
        <f t="shared" ca="1" si="57"/>
        <v>82.239482700600831</v>
      </c>
    </row>
    <row r="104" spans="1:34" x14ac:dyDescent="0.25">
      <c r="A104" s="347">
        <f t="shared" ca="1" si="35"/>
        <v>0.01</v>
      </c>
      <c r="B104" s="304">
        <f t="shared" ca="1" si="36"/>
        <v>1.0000000000000007</v>
      </c>
      <c r="D104" s="306">
        <f t="shared" ca="1" si="37"/>
        <v>8.2189551172197444</v>
      </c>
      <c r="E104" s="307">
        <f t="shared" ca="1" si="38"/>
        <v>71.966381272658651</v>
      </c>
      <c r="F104" s="304">
        <f t="shared" ca="1" si="39"/>
        <v>72.434185690877669</v>
      </c>
      <c r="G104" s="306">
        <f t="shared" ca="1" si="40"/>
        <v>7.3329838370181859</v>
      </c>
      <c r="H104" s="307">
        <f t="shared" ca="1" si="41"/>
        <v>72.863106573067768</v>
      </c>
      <c r="I104" s="304">
        <f t="shared" ca="1" si="42"/>
        <v>73.231174723830563</v>
      </c>
      <c r="J104" s="306">
        <f t="shared" ca="1" si="43"/>
        <v>3.4318360049180918</v>
      </c>
      <c r="K104" s="307">
        <f t="shared" ca="1" si="44"/>
        <v>36.090523335438</v>
      </c>
      <c r="L104" s="304">
        <f t="shared" ca="1" si="29"/>
        <v>36.253322233837373</v>
      </c>
      <c r="M104" s="306">
        <f t="shared" ca="1" si="45"/>
        <v>1.4704934969484438</v>
      </c>
      <c r="N104" s="304">
        <f t="shared" ca="1" si="46"/>
        <v>84.253071176579425</v>
      </c>
      <c r="P104" s="310">
        <f t="shared" ca="1" si="47"/>
        <v>6</v>
      </c>
      <c r="Q104" s="304">
        <f t="shared" ca="1" si="48"/>
        <v>1012.6999999999999</v>
      </c>
      <c r="R104" s="306">
        <f t="shared" ca="1" si="49"/>
        <v>0.50729410059324243</v>
      </c>
      <c r="S104" s="307">
        <f t="shared" ca="1" si="50"/>
        <v>11.997178690529493</v>
      </c>
      <c r="T104" s="304">
        <f t="shared" ca="1" si="30"/>
        <v>117.69232295409434</v>
      </c>
      <c r="U104" s="311">
        <f t="shared" ca="1" si="31"/>
        <v>0</v>
      </c>
      <c r="V104" s="306">
        <f t="shared" ca="1" si="32"/>
        <v>1.2205868744918655</v>
      </c>
      <c r="W104" s="304">
        <f t="shared" ca="1" si="33"/>
        <v>27.205003276379902</v>
      </c>
      <c r="Y104" s="314" t="str">
        <f t="shared" ca="1" si="51"/>
        <v/>
      </c>
      <c r="Z104" s="315" t="str">
        <f t="shared" ca="1" si="52"/>
        <v/>
      </c>
      <c r="AA104" s="316" t="str">
        <f t="shared" ca="1" si="53"/>
        <v/>
      </c>
      <c r="AC104" s="310">
        <f t="shared" ca="1" si="54"/>
        <v>1.0000000000000007</v>
      </c>
      <c r="AD104" s="323">
        <f t="shared" ca="1" si="55"/>
        <v>3.4318360049180918</v>
      </c>
      <c r="AE104" s="324">
        <f t="shared" ca="1" si="34"/>
        <v>36.090523335438</v>
      </c>
      <c r="AG104" s="306">
        <f t="shared" ca="1" si="56"/>
        <v>72.427542192050922</v>
      </c>
      <c r="AH104" s="304">
        <f t="shared" ca="1" si="57"/>
        <v>82.18836753014449</v>
      </c>
    </row>
    <row r="105" spans="1:34" x14ac:dyDescent="0.25">
      <c r="A105" s="347">
        <f t="shared" ca="1" si="35"/>
        <v>0.01</v>
      </c>
      <c r="B105" s="304">
        <f t="shared" ca="1" si="36"/>
        <v>1.0100000000000007</v>
      </c>
      <c r="D105" s="306">
        <f t="shared" ca="1" si="37"/>
        <v>8.2247449112561544</v>
      </c>
      <c r="E105" s="307">
        <f t="shared" ca="1" si="38"/>
        <v>71.913958258285078</v>
      </c>
      <c r="F105" s="304">
        <f t="shared" ca="1" si="39"/>
        <v>72.382759143525348</v>
      </c>
      <c r="G105" s="306">
        <f t="shared" ca="1" si="40"/>
        <v>7.4152312861307479</v>
      </c>
      <c r="H105" s="307">
        <f t="shared" ca="1" si="41"/>
        <v>73.582246155650623</v>
      </c>
      <c r="I105" s="304">
        <f t="shared" ca="1" si="42"/>
        <v>73.95493630811653</v>
      </c>
      <c r="J105" s="306">
        <f t="shared" ca="1" si="43"/>
        <v>3.5055770805338367</v>
      </c>
      <c r="K105" s="307">
        <f t="shared" ca="1" si="44"/>
        <v>36.822750099081595</v>
      </c>
      <c r="L105" s="304">
        <f t="shared" ca="1" si="29"/>
        <v>36.989241618705542</v>
      </c>
      <c r="M105" s="306">
        <f t="shared" ca="1" si="45"/>
        <v>1.470360669885959</v>
      </c>
      <c r="N105" s="304">
        <f t="shared" ca="1" si="46"/>
        <v>84.245460746493933</v>
      </c>
      <c r="P105" s="310">
        <f t="shared" ca="1" si="47"/>
        <v>6</v>
      </c>
      <c r="Q105" s="304">
        <f t="shared" ca="1" si="48"/>
        <v>1012.198245614035</v>
      </c>
      <c r="R105" s="306">
        <f t="shared" ca="1" si="49"/>
        <v>0.50704275563427448</v>
      </c>
      <c r="S105" s="307">
        <f t="shared" ca="1" si="50"/>
        <v>11.992108262973151</v>
      </c>
      <c r="T105" s="304">
        <f t="shared" ca="1" si="30"/>
        <v>117.64258205976661</v>
      </c>
      <c r="U105" s="311">
        <f t="shared" ca="1" si="31"/>
        <v>0</v>
      </c>
      <c r="V105" s="306">
        <f t="shared" ca="1" si="32"/>
        <v>1.2204975028292693</v>
      </c>
      <c r="W105" s="304">
        <f t="shared" ca="1" si="33"/>
        <v>27.743376478085089</v>
      </c>
      <c r="Y105" s="314" t="str">
        <f t="shared" ca="1" si="51"/>
        <v/>
      </c>
      <c r="Z105" s="315" t="str">
        <f t="shared" ca="1" si="52"/>
        <v/>
      </c>
      <c r="AA105" s="316" t="str">
        <f t="shared" ca="1" si="53"/>
        <v/>
      </c>
      <c r="AC105" s="310" t="e">
        <f t="shared" ca="1" si="54"/>
        <v>#N/A</v>
      </c>
      <c r="AD105" s="323" t="e">
        <f t="shared" ca="1" si="55"/>
        <v>#N/A</v>
      </c>
      <c r="AE105" s="324">
        <f t="shared" ca="1" si="34"/>
        <v>36.822750099081595</v>
      </c>
      <c r="AG105" s="306">
        <f t="shared" ca="1" si="56"/>
        <v>72.376093189143504</v>
      </c>
      <c r="AH105" s="304">
        <f t="shared" ca="1" si="57"/>
        <v>82.136787021755097</v>
      </c>
    </row>
    <row r="106" spans="1:34" x14ac:dyDescent="0.25">
      <c r="A106" s="347">
        <f t="shared" ca="1" si="35"/>
        <v>0.01</v>
      </c>
      <c r="B106" s="304">
        <f t="shared" ca="1" si="36"/>
        <v>1.0200000000000007</v>
      </c>
      <c r="D106" s="306">
        <f t="shared" ca="1" si="37"/>
        <v>8.2303816027256147</v>
      </c>
      <c r="E106" s="307">
        <f t="shared" ca="1" si="38"/>
        <v>71.861082354425136</v>
      </c>
      <c r="F106" s="304">
        <f t="shared" ca="1" si="39"/>
        <v>72.330867121001361</v>
      </c>
      <c r="G106" s="306">
        <f t="shared" ca="1" si="40"/>
        <v>7.4975351021580039</v>
      </c>
      <c r="H106" s="307">
        <f t="shared" ca="1" si="41"/>
        <v>74.300856979194876</v>
      </c>
      <c r="I106" s="304">
        <f t="shared" ca="1" si="42"/>
        <v>74.67817874353166</v>
      </c>
      <c r="J106" s="306">
        <f t="shared" ca="1" si="43"/>
        <v>3.5801409124752803</v>
      </c>
      <c r="K106" s="307">
        <f t="shared" ca="1" si="44"/>
        <v>37.56216561475582</v>
      </c>
      <c r="L106" s="304">
        <f t="shared" ca="1" si="29"/>
        <v>37.732395824059779</v>
      </c>
      <c r="M106" s="306">
        <f t="shared" ca="1" si="45"/>
        <v>1.470228955617249</v>
      </c>
      <c r="N106" s="304">
        <f t="shared" ca="1" si="46"/>
        <v>84.237914074795199</v>
      </c>
      <c r="P106" s="310">
        <f t="shared" ca="1" si="47"/>
        <v>6</v>
      </c>
      <c r="Q106" s="304">
        <f t="shared" ca="1" si="48"/>
        <v>1011.6964912280702</v>
      </c>
      <c r="R106" s="306">
        <f t="shared" ca="1" si="49"/>
        <v>0.50679141067530664</v>
      </c>
      <c r="S106" s="307">
        <f t="shared" ca="1" si="50"/>
        <v>11.987040348866397</v>
      </c>
      <c r="T106" s="304">
        <f t="shared" ca="1" si="30"/>
        <v>117.59286582237937</v>
      </c>
      <c r="U106" s="311">
        <f t="shared" ca="1" si="31"/>
        <v>0</v>
      </c>
      <c r="V106" s="306">
        <f t="shared" ca="1" si="32"/>
        <v>1.2204072603745144</v>
      </c>
      <c r="W106" s="304">
        <f t="shared" ca="1" si="33"/>
        <v>28.286570982234913</v>
      </c>
      <c r="Y106" s="314" t="str">
        <f t="shared" ca="1" si="51"/>
        <v/>
      </c>
      <c r="Z106" s="315" t="str">
        <f t="shared" ca="1" si="52"/>
        <v/>
      </c>
      <c r="AA106" s="316" t="str">
        <f t="shared" ca="1" si="53"/>
        <v/>
      </c>
      <c r="AC106" s="310" t="e">
        <f t="shared" ca="1" si="54"/>
        <v>#N/A</v>
      </c>
      <c r="AD106" s="323" t="e">
        <f t="shared" ca="1" si="55"/>
        <v>#N/A</v>
      </c>
      <c r="AE106" s="324">
        <f t="shared" ca="1" si="34"/>
        <v>37.56216561475582</v>
      </c>
      <c r="AG106" s="306">
        <f t="shared" ca="1" si="56"/>
        <v>72.324178763238237</v>
      </c>
      <c r="AH106" s="304">
        <f t="shared" ca="1" si="57"/>
        <v>82.084742030841383</v>
      </c>
    </row>
    <row r="107" spans="1:34" x14ac:dyDescent="0.25">
      <c r="A107" s="347">
        <f t="shared" ca="1" si="35"/>
        <v>0.01</v>
      </c>
      <c r="B107" s="304">
        <f t="shared" ca="1" si="36"/>
        <v>1.0300000000000007</v>
      </c>
      <c r="D107" s="306">
        <f t="shared" ca="1" si="37"/>
        <v>8.2358670226080939</v>
      </c>
      <c r="E107" s="307">
        <f t="shared" ca="1" si="38"/>
        <v>71.807754289718602</v>
      </c>
      <c r="F107" s="304">
        <f t="shared" ca="1" si="39"/>
        <v>72.278510511400853</v>
      </c>
      <c r="G107" s="306">
        <f t="shared" ca="1" si="40"/>
        <v>7.5798937723840849</v>
      </c>
      <c r="H107" s="307">
        <f t="shared" ca="1" si="41"/>
        <v>75.018934522092067</v>
      </c>
      <c r="I107" s="304">
        <f t="shared" ca="1" si="42"/>
        <v>75.400897384782922</v>
      </c>
      <c r="J107" s="306">
        <f t="shared" ca="1" si="43"/>
        <v>3.6555280568479906</v>
      </c>
      <c r="K107" s="307">
        <f t="shared" ca="1" si="44"/>
        <v>38.308764572262255</v>
      </c>
      <c r="L107" s="304">
        <f t="shared" ca="1" si="29"/>
        <v>38.482779634888885</v>
      </c>
      <c r="M107" s="306">
        <f t="shared" ca="1" si="45"/>
        <v>1.4700983333300859</v>
      </c>
      <c r="N107" s="304">
        <f t="shared" ca="1" si="46"/>
        <v>84.230429969030396</v>
      </c>
      <c r="P107" s="310">
        <f t="shared" ca="1" si="47"/>
        <v>6</v>
      </c>
      <c r="Q107" s="304">
        <f t="shared" ca="1" si="48"/>
        <v>1011.1947368421052</v>
      </c>
      <c r="R107" s="306">
        <f t="shared" ca="1" si="49"/>
        <v>0.50654006571633869</v>
      </c>
      <c r="S107" s="307">
        <f t="shared" ca="1" si="50"/>
        <v>11.981974948209235</v>
      </c>
      <c r="T107" s="304">
        <f t="shared" ca="1" si="30"/>
        <v>117.5431742419326</v>
      </c>
      <c r="U107" s="311">
        <f t="shared" ca="1" si="31"/>
        <v>0</v>
      </c>
      <c r="V107" s="306">
        <f t="shared" ca="1" si="32"/>
        <v>1.2203161479691351</v>
      </c>
      <c r="W107" s="304">
        <f t="shared" ca="1" si="33"/>
        <v>28.834569571314319</v>
      </c>
      <c r="Y107" s="314" t="str">
        <f t="shared" ca="1" si="51"/>
        <v/>
      </c>
      <c r="Z107" s="315" t="str">
        <f t="shared" ca="1" si="52"/>
        <v/>
      </c>
      <c r="AA107" s="316" t="str">
        <f t="shared" ca="1" si="53"/>
        <v/>
      </c>
      <c r="AC107" s="310" t="e">
        <f t="shared" ca="1" si="54"/>
        <v>#N/A</v>
      </c>
      <c r="AD107" s="323" t="e">
        <f t="shared" ca="1" si="55"/>
        <v>#N/A</v>
      </c>
      <c r="AE107" s="324">
        <f t="shared" ca="1" si="34"/>
        <v>38.308764572262255</v>
      </c>
      <c r="AG107" s="306">
        <f t="shared" ca="1" si="56"/>
        <v>72.271799799934698</v>
      </c>
      <c r="AH107" s="304">
        <f t="shared" ca="1" si="57"/>
        <v>82.032233426324325</v>
      </c>
    </row>
    <row r="108" spans="1:34" x14ac:dyDescent="0.25">
      <c r="A108" s="347">
        <f t="shared" ca="1" si="35"/>
        <v>0.01</v>
      </c>
      <c r="B108" s="304">
        <f t="shared" ca="1" si="36"/>
        <v>1.0400000000000007</v>
      </c>
      <c r="D108" s="306">
        <f t="shared" ca="1" si="37"/>
        <v>8.241202952984036</v>
      </c>
      <c r="E108" s="307">
        <f t="shared" ca="1" si="38"/>
        <v>71.753974809996109</v>
      </c>
      <c r="F108" s="304">
        <f t="shared" ca="1" si="39"/>
        <v>72.225690215780062</v>
      </c>
      <c r="G108" s="306">
        <f t="shared" ca="1" si="40"/>
        <v>7.6623058019139254</v>
      </c>
      <c r="H108" s="307">
        <f t="shared" ca="1" si="41"/>
        <v>75.736474270192033</v>
      </c>
      <c r="I108" s="304">
        <f t="shared" ca="1" si="42"/>
        <v>76.12308759556133</v>
      </c>
      <c r="J108" s="306">
        <f t="shared" ca="1" si="43"/>
        <v>3.7317390547194806</v>
      </c>
      <c r="K108" s="307">
        <f t="shared" ca="1" si="44"/>
        <v>39.062541616223676</v>
      </c>
      <c r="L108" s="304">
        <f t="shared" ca="1" si="29"/>
        <v>39.240387789772484</v>
      </c>
      <c r="M108" s="306">
        <f t="shared" ca="1" si="45"/>
        <v>1.4699687827929333</v>
      </c>
      <c r="N108" s="304">
        <f t="shared" ca="1" si="46"/>
        <v>84.223007270017902</v>
      </c>
      <c r="P108" s="310">
        <f t="shared" ca="1" si="47"/>
        <v>6</v>
      </c>
      <c r="Q108" s="304">
        <f t="shared" ca="1" si="48"/>
        <v>1010.6929824561403</v>
      </c>
      <c r="R108" s="306">
        <f t="shared" ca="1" si="49"/>
        <v>0.50628872075737075</v>
      </c>
      <c r="S108" s="307">
        <f t="shared" ca="1" si="50"/>
        <v>11.976912061001661</v>
      </c>
      <c r="T108" s="304">
        <f t="shared" ca="1" si="30"/>
        <v>117.4935073184263</v>
      </c>
      <c r="U108" s="311">
        <f t="shared" ca="1" si="31"/>
        <v>0</v>
      </c>
      <c r="V108" s="306">
        <f t="shared" ca="1" si="32"/>
        <v>1.2202241664618299</v>
      </c>
      <c r="W108" s="304">
        <f t="shared" ca="1" si="33"/>
        <v>29.387354891990579</v>
      </c>
      <c r="Y108" s="314" t="str">
        <f t="shared" ca="1" si="51"/>
        <v/>
      </c>
      <c r="Z108" s="315" t="str">
        <f t="shared" ca="1" si="52"/>
        <v/>
      </c>
      <c r="AA108" s="316" t="str">
        <f t="shared" ca="1" si="53"/>
        <v/>
      </c>
      <c r="AC108" s="310" t="e">
        <f t="shared" ca="1" si="54"/>
        <v>#N/A</v>
      </c>
      <c r="AD108" s="323" t="e">
        <f t="shared" ca="1" si="55"/>
        <v>#N/A</v>
      </c>
      <c r="AE108" s="324">
        <f t="shared" ca="1" si="34"/>
        <v>39.062541616223676</v>
      </c>
      <c r="AG108" s="306">
        <f t="shared" ca="1" si="56"/>
        <v>72.218957197851324</v>
      </c>
      <c r="AH108" s="304">
        <f t="shared" ca="1" si="57"/>
        <v>81.97926209059186</v>
      </c>
    </row>
    <row r="109" spans="1:34" x14ac:dyDescent="0.25">
      <c r="A109" s="347">
        <f t="shared" ca="1" si="35"/>
        <v>0.01</v>
      </c>
      <c r="B109" s="304">
        <f t="shared" ca="1" si="36"/>
        <v>1.0500000000000007</v>
      </c>
      <c r="D109" s="306">
        <f t="shared" ca="1" si="37"/>
        <v>8.2463911289474794</v>
      </c>
      <c r="E109" s="307">
        <f t="shared" ca="1" si="38"/>
        <v>71.699744678092472</v>
      </c>
      <c r="F109" s="304">
        <f t="shared" ca="1" si="39"/>
        <v>72.172407148128528</v>
      </c>
      <c r="G109" s="306">
        <f t="shared" ca="1" si="40"/>
        <v>7.7447697132034001</v>
      </c>
      <c r="H109" s="307">
        <f t="shared" ca="1" si="41"/>
        <v>76.453471716972956</v>
      </c>
      <c r="I109" s="304">
        <f t="shared" ca="1" si="42"/>
        <v>76.844744748671886</v>
      </c>
      <c r="J109" s="306">
        <f t="shared" ca="1" si="43"/>
        <v>3.8087744322950674</v>
      </c>
      <c r="K109" s="307">
        <f t="shared" ca="1" si="44"/>
        <v>39.8234913461595</v>
      </c>
      <c r="L109" s="304">
        <f t="shared" ca="1" si="29"/>
        <v>40.005214980971481</v>
      </c>
      <c r="M109" s="306">
        <f t="shared" ca="1" si="45"/>
        <v>1.4698402843332896</v>
      </c>
      <c r="N109" s="304">
        <f t="shared" ca="1" si="46"/>
        <v>84.215644850606395</v>
      </c>
      <c r="P109" s="310">
        <f t="shared" ca="1" si="47"/>
        <v>6</v>
      </c>
      <c r="Q109" s="304">
        <f t="shared" ca="1" si="48"/>
        <v>1010.1912280701754</v>
      </c>
      <c r="R109" s="306">
        <f t="shared" ca="1" si="49"/>
        <v>0.50603737579840291</v>
      </c>
      <c r="S109" s="307">
        <f t="shared" ca="1" si="50"/>
        <v>11.971851687243676</v>
      </c>
      <c r="T109" s="304">
        <f t="shared" ca="1" si="30"/>
        <v>117.44386505186047</v>
      </c>
      <c r="U109" s="311">
        <f t="shared" ca="1" si="31"/>
        <v>0</v>
      </c>
      <c r="V109" s="306">
        <f t="shared" ca="1" si="32"/>
        <v>1.220131316708442</v>
      </c>
      <c r="W109" s="304">
        <f t="shared" ca="1" si="33"/>
        <v>29.944909455993731</v>
      </c>
      <c r="Y109" s="314" t="str">
        <f t="shared" ca="1" si="51"/>
        <v/>
      </c>
      <c r="Z109" s="315" t="str">
        <f t="shared" ca="1" si="52"/>
        <v/>
      </c>
      <c r="AA109" s="316" t="str">
        <f t="shared" ca="1" si="53"/>
        <v/>
      </c>
      <c r="AC109" s="310" t="e">
        <f t="shared" ca="1" si="54"/>
        <v>#N/A</v>
      </c>
      <c r="AD109" s="323" t="e">
        <f t="shared" ca="1" si="55"/>
        <v>#N/A</v>
      </c>
      <c r="AE109" s="324">
        <f t="shared" ca="1" si="34"/>
        <v>39.8234913461595</v>
      </c>
      <c r="AG109" s="306">
        <f t="shared" ca="1" si="56"/>
        <v>72.165651868595432</v>
      </c>
      <c r="AH109" s="304">
        <f t="shared" ca="1" si="57"/>
        <v>81.925828919452556</v>
      </c>
    </row>
    <row r="110" spans="1:34" x14ac:dyDescent="0.25">
      <c r="A110" s="347">
        <f t="shared" ca="1" si="35"/>
        <v>0.01</v>
      </c>
      <c r="B110" s="304">
        <f t="shared" ca="1" si="36"/>
        <v>1.0600000000000007</v>
      </c>
      <c r="D110" s="306">
        <f t="shared" ca="1" si="37"/>
        <v>8.2514332404290052</v>
      </c>
      <c r="E110" s="307">
        <f t="shared" ca="1" si="38"/>
        <v>71.645064673665658</v>
      </c>
      <c r="F110" s="304">
        <f t="shared" ca="1" si="39"/>
        <v>72.118662235339556</v>
      </c>
      <c r="G110" s="306">
        <f t="shared" ca="1" si="40"/>
        <v>7.8272840456076898</v>
      </c>
      <c r="H110" s="307">
        <f t="shared" ca="1" si="41"/>
        <v>77.169922363709617</v>
      </c>
      <c r="I110" s="304">
        <f t="shared" ca="1" si="42"/>
        <v>77.565864226163271</v>
      </c>
      <c r="J110" s="306">
        <f t="shared" ca="1" si="43"/>
        <v>3.8866347010891227</v>
      </c>
      <c r="K110" s="307">
        <f t="shared" ca="1" si="44"/>
        <v>40.591608316562912</v>
      </c>
      <c r="L110" s="304">
        <f t="shared" ca="1" si="29"/>
        <v>40.777255854519801</v>
      </c>
      <c r="M110" s="306">
        <f t="shared" ca="1" si="45"/>
        <v>1.4697128188170374</v>
      </c>
      <c r="N110" s="304">
        <f t="shared" ca="1" si="46"/>
        <v>84.208341614491687</v>
      </c>
      <c r="P110" s="310">
        <f t="shared" ca="1" si="47"/>
        <v>6</v>
      </c>
      <c r="Q110" s="304">
        <f t="shared" ca="1" si="48"/>
        <v>1009.6894736842105</v>
      </c>
      <c r="R110" s="306">
        <f t="shared" ca="1" si="49"/>
        <v>0.50578603083943507</v>
      </c>
      <c r="S110" s="307">
        <f t="shared" ca="1" si="50"/>
        <v>11.966793826935282</v>
      </c>
      <c r="T110" s="304">
        <f t="shared" ca="1" si="30"/>
        <v>117.39424744223513</v>
      </c>
      <c r="U110" s="311">
        <f t="shared" ca="1" si="31"/>
        <v>0</v>
      </c>
      <c r="V110" s="306">
        <f t="shared" ca="1" si="32"/>
        <v>1.2200375995719455</v>
      </c>
      <c r="W110" s="304">
        <f t="shared" ca="1" si="33"/>
        <v>30.507215641005136</v>
      </c>
      <c r="Y110" s="314" t="str">
        <f t="shared" ca="1" si="51"/>
        <v/>
      </c>
      <c r="Z110" s="315" t="str">
        <f t="shared" ca="1" si="52"/>
        <v/>
      </c>
      <c r="AA110" s="316" t="str">
        <f t="shared" ca="1" si="53"/>
        <v/>
      </c>
      <c r="AC110" s="310" t="e">
        <f t="shared" ca="1" si="54"/>
        <v>#N/A</v>
      </c>
      <c r="AD110" s="323" t="e">
        <f t="shared" ca="1" si="55"/>
        <v>#N/A</v>
      </c>
      <c r="AE110" s="324">
        <f t="shared" ca="1" si="34"/>
        <v>40.591608316562912</v>
      </c>
      <c r="AG110" s="306">
        <f t="shared" ca="1" si="56"/>
        <v>72.111884736731625</v>
      </c>
      <c r="AH110" s="304">
        <f t="shared" ca="1" si="57"/>
        <v>81.871934822088534</v>
      </c>
    </row>
    <row r="111" spans="1:34" x14ac:dyDescent="0.25">
      <c r="A111" s="347">
        <f t="shared" ca="1" si="35"/>
        <v>0.01</v>
      </c>
      <c r="B111" s="304">
        <f t="shared" ca="1" si="36"/>
        <v>1.0700000000000007</v>
      </c>
      <c r="D111" s="306">
        <f t="shared" ca="1" si="37"/>
        <v>8.2563309339335582</v>
      </c>
      <c r="E111" s="307">
        <f t="shared" ca="1" si="38"/>
        <v>71.589935593021039</v>
      </c>
      <c r="F111" s="304">
        <f t="shared" ca="1" si="39"/>
        <v>72.064456417179258</v>
      </c>
      <c r="G111" s="306">
        <f t="shared" ca="1" si="40"/>
        <v>7.9098473549470256</v>
      </c>
      <c r="H111" s="307">
        <f t="shared" ca="1" si="41"/>
        <v>77.885821719639821</v>
      </c>
      <c r="I111" s="304">
        <f t="shared" ca="1" si="42"/>
        <v>78.286441419457049</v>
      </c>
      <c r="J111" s="306">
        <f t="shared" ca="1" si="43"/>
        <v>3.9653203580918963</v>
      </c>
      <c r="K111" s="307">
        <f t="shared" ca="1" si="44"/>
        <v>41.366887036979662</v>
      </c>
      <c r="L111" s="304">
        <f t="shared" ca="1" si="29"/>
        <v>41.556505010317387</v>
      </c>
      <c r="M111" s="306">
        <f t="shared" ca="1" si="45"/>
        <v>1.4695863676287457</v>
      </c>
      <c r="N111" s="304">
        <f t="shared" ca="1" si="46"/>
        <v>84.201096495088152</v>
      </c>
      <c r="P111" s="310">
        <f t="shared" ca="1" si="47"/>
        <v>6</v>
      </c>
      <c r="Q111" s="304">
        <f t="shared" ca="1" si="48"/>
        <v>1009.1877192982456</v>
      </c>
      <c r="R111" s="306">
        <f t="shared" ca="1" si="49"/>
        <v>0.50553468588046713</v>
      </c>
      <c r="S111" s="307">
        <f t="shared" ca="1" si="50"/>
        <v>11.961738480076477</v>
      </c>
      <c r="T111" s="304">
        <f t="shared" ca="1" si="30"/>
        <v>117.34465448955024</v>
      </c>
      <c r="U111" s="311">
        <f t="shared" ca="1" si="31"/>
        <v>0</v>
      </c>
      <c r="V111" s="306">
        <f t="shared" ca="1" si="32"/>
        <v>1.2199430159224243</v>
      </c>
      <c r="W111" s="304">
        <f t="shared" ca="1" si="33"/>
        <v>31.074255691553887</v>
      </c>
      <c r="Y111" s="314" t="str">
        <f t="shared" ca="1" si="51"/>
        <v/>
      </c>
      <c r="Z111" s="315" t="str">
        <f t="shared" ca="1" si="52"/>
        <v/>
      </c>
      <c r="AA111" s="316" t="str">
        <f t="shared" ca="1" si="53"/>
        <v/>
      </c>
      <c r="AC111" s="310" t="e">
        <f t="shared" ca="1" si="54"/>
        <v>#N/A</v>
      </c>
      <c r="AD111" s="323" t="e">
        <f t="shared" ca="1" si="55"/>
        <v>#N/A</v>
      </c>
      <c r="AE111" s="324">
        <f t="shared" ca="1" si="34"/>
        <v>41.366887036979662</v>
      </c>
      <c r="AG111" s="306">
        <f t="shared" ca="1" si="56"/>
        <v>72.057656739748893</v>
      </c>
      <c r="AH111" s="304">
        <f t="shared" ca="1" si="57"/>
        <v>81.817580721007644</v>
      </c>
    </row>
    <row r="112" spans="1:34" x14ac:dyDescent="0.25">
      <c r="A112" s="347">
        <f t="shared" ca="1" si="35"/>
        <v>0.01</v>
      </c>
      <c r="B112" s="304">
        <f t="shared" ca="1" si="36"/>
        <v>1.0800000000000007</v>
      </c>
      <c r="D112" s="306">
        <f t="shared" ca="1" si="37"/>
        <v>8.2610858141976671</v>
      </c>
      <c r="E112" s="307">
        <f t="shared" ca="1" si="38"/>
        <v>71.534358248940535</v>
      </c>
      <c r="F112" s="304">
        <f t="shared" ca="1" si="39"/>
        <v>72.009790646253819</v>
      </c>
      <c r="G112" s="306">
        <f t="shared" ca="1" si="40"/>
        <v>7.9924582130890025</v>
      </c>
      <c r="H112" s="307">
        <f t="shared" ca="1" si="41"/>
        <v>78.601165302129232</v>
      </c>
      <c r="I112" s="304">
        <f t="shared" ca="1" si="42"/>
        <v>79.0064717294768</v>
      </c>
      <c r="J112" s="306">
        <f t="shared" ca="1" si="43"/>
        <v>4.0448318859320764</v>
      </c>
      <c r="K112" s="307">
        <f t="shared" ca="1" si="44"/>
        <v>42.149321972088508</v>
      </c>
      <c r="L112" s="304">
        <f t="shared" ca="1" si="29"/>
        <v>42.342957002224537</v>
      </c>
      <c r="M112" s="306">
        <f t="shared" ca="1" si="45"/>
        <v>1.4694609126528693</v>
      </c>
      <c r="N112" s="304">
        <f t="shared" ca="1" si="46"/>
        <v>84.193908454451517</v>
      </c>
      <c r="P112" s="310">
        <f t="shared" ca="1" si="47"/>
        <v>6</v>
      </c>
      <c r="Q112" s="304">
        <f t="shared" ca="1" si="48"/>
        <v>1008.6859649122806</v>
      </c>
      <c r="R112" s="306">
        <f t="shared" ca="1" si="49"/>
        <v>0.50528334092149918</v>
      </c>
      <c r="S112" s="307">
        <f t="shared" ca="1" si="50"/>
        <v>11.956685646667262</v>
      </c>
      <c r="T112" s="304">
        <f t="shared" ca="1" si="30"/>
        <v>117.29508619380584</v>
      </c>
      <c r="U112" s="311">
        <f t="shared" ca="1" si="31"/>
        <v>0</v>
      </c>
      <c r="V112" s="306">
        <f t="shared" ca="1" si="32"/>
        <v>1.2198475666370572</v>
      </c>
      <c r="W112" s="304">
        <f t="shared" ca="1" si="33"/>
        <v>31.646011719921361</v>
      </c>
      <c r="Y112" s="314" t="str">
        <f t="shared" ca="1" si="51"/>
        <v/>
      </c>
      <c r="Z112" s="315" t="str">
        <f t="shared" ca="1" si="52"/>
        <v/>
      </c>
      <c r="AA112" s="316" t="str">
        <f t="shared" ca="1" si="53"/>
        <v/>
      </c>
      <c r="AC112" s="310" t="e">
        <f t="shared" ca="1" si="54"/>
        <v>#N/A</v>
      </c>
      <c r="AD112" s="323" t="e">
        <f t="shared" ca="1" si="55"/>
        <v>#N/A</v>
      </c>
      <c r="AE112" s="324">
        <f t="shared" ca="1" si="34"/>
        <v>42.149321972088508</v>
      </c>
      <c r="AG112" s="306">
        <f t="shared" ca="1" si="56"/>
        <v>72.002968828026013</v>
      </c>
      <c r="AH112" s="304">
        <f t="shared" ca="1" si="57"/>
        <v>81.762767551994699</v>
      </c>
    </row>
    <row r="113" spans="1:34" x14ac:dyDescent="0.25">
      <c r="A113" s="347">
        <f t="shared" ca="1" si="35"/>
        <v>0.01</v>
      </c>
      <c r="B113" s="304">
        <f t="shared" ca="1" si="36"/>
        <v>1.0900000000000007</v>
      </c>
      <c r="D113" s="306">
        <f t="shared" ca="1" si="37"/>
        <v>8.2656994457707622</v>
      </c>
      <c r="E113" s="307">
        <f t="shared" ca="1" si="38"/>
        <v>71.478333470516375</v>
      </c>
      <c r="F113" s="304">
        <f t="shared" ca="1" si="39"/>
        <v>71.95466588797531</v>
      </c>
      <c r="G113" s="306">
        <f t="shared" ca="1" si="40"/>
        <v>8.0751152075467107</v>
      </c>
      <c r="H113" s="307">
        <f t="shared" ca="1" si="41"/>
        <v>79.315948636834392</v>
      </c>
      <c r="I113" s="304">
        <f t="shared" ca="1" si="42"/>
        <v>79.725950566776589</v>
      </c>
      <c r="J113" s="306">
        <f t="shared" ca="1" si="43"/>
        <v>4.1251697530352551</v>
      </c>
      <c r="K113" s="307">
        <f t="shared" ca="1" si="44"/>
        <v>42.938907541783323</v>
      </c>
      <c r="L113" s="304">
        <f t="shared" ca="1" si="29"/>
        <v>43.136606338157542</v>
      </c>
      <c r="M113" s="306">
        <f t="shared" ca="1" si="45"/>
        <v>1.4693364362557979</v>
      </c>
      <c r="N113" s="304">
        <f t="shared" ca="1" si="46"/>
        <v>84.186776482250337</v>
      </c>
      <c r="P113" s="310">
        <f t="shared" ca="1" si="47"/>
        <v>6</v>
      </c>
      <c r="Q113" s="304">
        <f t="shared" ca="1" si="48"/>
        <v>1008.1842105263157</v>
      </c>
      <c r="R113" s="306">
        <f t="shared" ca="1" si="49"/>
        <v>0.50503199596253134</v>
      </c>
      <c r="S113" s="307">
        <f t="shared" ca="1" si="50"/>
        <v>11.951635326707637</v>
      </c>
      <c r="T113" s="304">
        <f t="shared" ca="1" si="30"/>
        <v>117.24554255500192</v>
      </c>
      <c r="U113" s="311">
        <f t="shared" ca="1" si="31"/>
        <v>0</v>
      </c>
      <c r="V113" s="306">
        <f t="shared" ca="1" si="32"/>
        <v>1.2197512526000975</v>
      </c>
      <c r="W113" s="304">
        <f t="shared" ca="1" si="33"/>
        <v>32.222465707053253</v>
      </c>
      <c r="Y113" s="314" t="str">
        <f t="shared" ca="1" si="51"/>
        <v/>
      </c>
      <c r="Z113" s="315" t="str">
        <f t="shared" ca="1" si="52"/>
        <v/>
      </c>
      <c r="AA113" s="316" t="str">
        <f t="shared" ca="1" si="53"/>
        <v/>
      </c>
      <c r="AC113" s="310" t="e">
        <f t="shared" ca="1" si="54"/>
        <v>#N/A</v>
      </c>
      <c r="AD113" s="323" t="e">
        <f t="shared" ca="1" si="55"/>
        <v>#N/A</v>
      </c>
      <c r="AE113" s="324">
        <f t="shared" ca="1" si="34"/>
        <v>42.938907541783323</v>
      </c>
      <c r="AG113" s="306">
        <f t="shared" ca="1" si="56"/>
        <v>71.947821964795537</v>
      </c>
      <c r="AH113" s="304">
        <f t="shared" ca="1" si="57"/>
        <v>81.707496264061888</v>
      </c>
    </row>
    <row r="114" spans="1:34" x14ac:dyDescent="0.25">
      <c r="A114" s="347">
        <f t="shared" ca="1" si="35"/>
        <v>0.01</v>
      </c>
      <c r="B114" s="304">
        <f t="shared" ca="1" si="36"/>
        <v>1.1000000000000008</v>
      </c>
      <c r="D114" s="306">
        <f t="shared" ca="1" si="37"/>
        <v>8.2701733545245499</v>
      </c>
      <c r="E114" s="307">
        <f t="shared" ca="1" si="38"/>
        <v>71.421862102989266</v>
      </c>
      <c r="F114" s="304">
        <f t="shared" ca="1" si="39"/>
        <v>71.899083120525958</v>
      </c>
      <c r="G114" s="306">
        <f t="shared" ca="1" si="40"/>
        <v>8.1578169410919568</v>
      </c>
      <c r="H114" s="307">
        <f t="shared" ca="1" si="41"/>
        <v>80.030167257864278</v>
      </c>
      <c r="I114" s="304">
        <f t="shared" ca="1" si="42"/>
        <v>80.444873351669216</v>
      </c>
      <c r="J114" s="306">
        <f t="shared" ca="1" si="43"/>
        <v>4.2063344137784489</v>
      </c>
      <c r="K114" s="307">
        <f t="shared" ca="1" si="44"/>
        <v>43.735638121256812</v>
      </c>
      <c r="L114" s="304">
        <f t="shared" ca="1" si="29"/>
        <v>43.937447480185611</v>
      </c>
      <c r="M114" s="306">
        <f t="shared" ca="1" si="45"/>
        <v>1.4692129212687102</v>
      </c>
      <c r="N114" s="304">
        <f t="shared" ca="1" si="46"/>
        <v>84.1796995947836</v>
      </c>
      <c r="P114" s="310">
        <f t="shared" ca="1" si="47"/>
        <v>6</v>
      </c>
      <c r="Q114" s="304">
        <f t="shared" ca="1" si="48"/>
        <v>1007.6824561403508</v>
      </c>
      <c r="R114" s="306">
        <f t="shared" ca="1" si="49"/>
        <v>0.50478065100356351</v>
      </c>
      <c r="S114" s="307">
        <f t="shared" ca="1" si="50"/>
        <v>11.946587520197602</v>
      </c>
      <c r="T114" s="304">
        <f t="shared" ca="1" si="30"/>
        <v>117.19602357313848</v>
      </c>
      <c r="U114" s="311">
        <f t="shared" ca="1" si="31"/>
        <v>0</v>
      </c>
      <c r="V114" s="306">
        <f t="shared" ca="1" si="32"/>
        <v>1.2196540747028572</v>
      </c>
      <c r="W114" s="304">
        <f t="shared" ca="1" si="33"/>
        <v>32.803599503479575</v>
      </c>
      <c r="Y114" s="314" t="str">
        <f t="shared" ca="1" si="51"/>
        <v/>
      </c>
      <c r="Z114" s="315" t="str">
        <f t="shared" ca="1" si="52"/>
        <v/>
      </c>
      <c r="AA114" s="316" t="str">
        <f t="shared" ca="1" si="53"/>
        <v/>
      </c>
      <c r="AC114" s="310" t="e">
        <f t="shared" ca="1" si="54"/>
        <v>#N/A</v>
      </c>
      <c r="AD114" s="323" t="e">
        <f t="shared" ca="1" si="55"/>
        <v>#N/A</v>
      </c>
      <c r="AE114" s="324">
        <f t="shared" ca="1" si="34"/>
        <v>43.735638121256812</v>
      </c>
      <c r="AG114" s="306">
        <f t="shared" ca="1" si="56"/>
        <v>71.892217126106473</v>
      </c>
      <c r="AH114" s="304">
        <f t="shared" ca="1" si="57"/>
        <v>81.651767819398444</v>
      </c>
    </row>
    <row r="115" spans="1:34" x14ac:dyDescent="0.25">
      <c r="A115" s="347">
        <f t="shared" ca="1" si="35"/>
        <v>0.01</v>
      </c>
      <c r="B115" s="304">
        <f t="shared" ca="1" si="36"/>
        <v>1.1100000000000008</v>
      </c>
      <c r="D115" s="306">
        <f t="shared" ca="1" si="37"/>
        <v>8.2745090290943679</v>
      </c>
      <c r="E115" s="307">
        <f t="shared" ca="1" si="38"/>
        <v>71.364945007590507</v>
      </c>
      <c r="F115" s="304">
        <f t="shared" ca="1" si="39"/>
        <v>71.84304333482109</v>
      </c>
      <c r="G115" s="306">
        <f t="shared" ca="1" si="40"/>
        <v>8.2405620313829004</v>
      </c>
      <c r="H115" s="307">
        <f t="shared" ca="1" si="41"/>
        <v>80.743816707940184</v>
      </c>
      <c r="I115" s="304">
        <f t="shared" ca="1" si="42"/>
        <v>81.163235514354099</v>
      </c>
      <c r="J115" s="306">
        <f t="shared" ca="1" si="43"/>
        <v>4.2883263086408228</v>
      </c>
      <c r="K115" s="307">
        <f t="shared" ca="1" si="44"/>
        <v>44.539508041085831</v>
      </c>
      <c r="L115" s="304">
        <f t="shared" ca="1" si="29"/>
        <v>44.745474844629044</v>
      </c>
      <c r="M115" s="306">
        <f t="shared" ca="1" si="45"/>
        <v>1.4690903509711877</v>
      </c>
      <c r="N115" s="304">
        <f t="shared" ca="1" si="46"/>
        <v>84.172676834041894</v>
      </c>
      <c r="P115" s="310">
        <f t="shared" ca="1" si="47"/>
        <v>6</v>
      </c>
      <c r="Q115" s="304">
        <f t="shared" ca="1" si="48"/>
        <v>1007.180701754386</v>
      </c>
      <c r="R115" s="306">
        <f t="shared" ca="1" si="49"/>
        <v>0.50452930604459556</v>
      </c>
      <c r="S115" s="307">
        <f t="shared" ca="1" si="50"/>
        <v>11.941542227137155</v>
      </c>
      <c r="T115" s="304">
        <f t="shared" ca="1" si="30"/>
        <v>117.1465292482155</v>
      </c>
      <c r="U115" s="311">
        <f t="shared" ca="1" si="31"/>
        <v>0</v>
      </c>
      <c r="V115" s="306">
        <f t="shared" ca="1" si="32"/>
        <v>1.2195560338436868</v>
      </c>
      <c r="W115" s="304">
        <f t="shared" ca="1" si="33"/>
        <v>33.389394830242232</v>
      </c>
      <c r="Y115" s="314" t="str">
        <f t="shared" ca="1" si="51"/>
        <v/>
      </c>
      <c r="Z115" s="315" t="str">
        <f t="shared" ca="1" si="52"/>
        <v/>
      </c>
      <c r="AA115" s="316" t="str">
        <f t="shared" ca="1" si="53"/>
        <v/>
      </c>
      <c r="AC115" s="310" t="e">
        <f t="shared" ca="1" si="54"/>
        <v>#N/A</v>
      </c>
      <c r="AD115" s="323" t="e">
        <f t="shared" ca="1" si="55"/>
        <v>#N/A</v>
      </c>
      <c r="AE115" s="324">
        <f t="shared" ca="1" si="34"/>
        <v>44.539508041085831</v>
      </c>
      <c r="AG115" s="306">
        <f t="shared" ca="1" si="56"/>
        <v>71.836155300785364</v>
      </c>
      <c r="AH115" s="304">
        <f t="shared" ca="1" si="57"/>
        <v>81.595583193319399</v>
      </c>
    </row>
    <row r="116" spans="1:34" x14ac:dyDescent="0.25">
      <c r="A116" s="347">
        <f t="shared" ca="1" si="35"/>
        <v>0.01</v>
      </c>
      <c r="B116" s="304">
        <f t="shared" ca="1" si="36"/>
        <v>1.1200000000000008</v>
      </c>
      <c r="D116" s="306">
        <f t="shared" ca="1" si="37"/>
        <v>8.2787079222561424</v>
      </c>
      <c r="E116" s="307">
        <f t="shared" ca="1" si="38"/>
        <v>71.307583061388002</v>
      </c>
      <c r="F116" s="304">
        <f t="shared" ca="1" si="39"/>
        <v>71.786547534470387</v>
      </c>
      <c r="G116" s="306">
        <f t="shared" ca="1" si="40"/>
        <v>8.3233491106054611</v>
      </c>
      <c r="H116" s="307">
        <f t="shared" ca="1" si="41"/>
        <v>81.456892538554058</v>
      </c>
      <c r="I116" s="304">
        <f t="shared" ca="1" si="42"/>
        <v>81.881032495044664</v>
      </c>
      <c r="J116" s="306">
        <f t="shared" ca="1" si="43"/>
        <v>4.3711458643507646</v>
      </c>
      <c r="K116" s="307">
        <f t="shared" ca="1" si="44"/>
        <v>45.350511587318302</v>
      </c>
      <c r="L116" s="304">
        <f t="shared" ca="1" si="29"/>
        <v>45.56068280215873</v>
      </c>
      <c r="M116" s="306">
        <f t="shared" ca="1" si="45"/>
        <v>1.4689687090755483</v>
      </c>
      <c r="N116" s="304">
        <f t="shared" ca="1" si="46"/>
        <v>84.16570726680979</v>
      </c>
      <c r="P116" s="310">
        <f t="shared" ca="1" si="47"/>
        <v>6</v>
      </c>
      <c r="Q116" s="304">
        <f t="shared" ca="1" si="48"/>
        <v>1006.6789473684209</v>
      </c>
      <c r="R116" s="306">
        <f t="shared" ca="1" si="49"/>
        <v>0.50427796108562761</v>
      </c>
      <c r="S116" s="307">
        <f t="shared" ca="1" si="50"/>
        <v>11.9364994475263</v>
      </c>
      <c r="T116" s="304">
        <f t="shared" ca="1" si="30"/>
        <v>117.09705958023301</v>
      </c>
      <c r="U116" s="311">
        <f t="shared" ca="1" si="31"/>
        <v>0</v>
      </c>
      <c r="V116" s="306">
        <f t="shared" ca="1" si="32"/>
        <v>1.2194571309279574</v>
      </c>
      <c r="W116" s="304">
        <f t="shared" ca="1" si="33"/>
        <v>33.979833279830089</v>
      </c>
      <c r="Y116" s="314" t="str">
        <f t="shared" ca="1" si="51"/>
        <v/>
      </c>
      <c r="Z116" s="315" t="str">
        <f t="shared" ca="1" si="52"/>
        <v/>
      </c>
      <c r="AA116" s="316" t="str">
        <f t="shared" ca="1" si="53"/>
        <v/>
      </c>
      <c r="AC116" s="310" t="e">
        <f t="shared" ca="1" si="54"/>
        <v>#N/A</v>
      </c>
      <c r="AD116" s="323" t="e">
        <f t="shared" ca="1" si="55"/>
        <v>#N/A</v>
      </c>
      <c r="AE116" s="324">
        <f t="shared" ca="1" si="34"/>
        <v>45.350511587318302</v>
      </c>
      <c r="AG116" s="306">
        <f t="shared" ca="1" si="56"/>
        <v>71.779637490396183</v>
      </c>
      <c r="AH116" s="304">
        <f t="shared" ca="1" si="57"/>
        <v>81.538943374213588</v>
      </c>
    </row>
    <row r="117" spans="1:34" x14ac:dyDescent="0.25">
      <c r="A117" s="347">
        <f t="shared" ca="1" si="35"/>
        <v>0.01</v>
      </c>
      <c r="B117" s="304">
        <f t="shared" ca="1" si="36"/>
        <v>1.1300000000000008</v>
      </c>
      <c r="D117" s="306">
        <f t="shared" ca="1" si="37"/>
        <v>8.2827714522425495</v>
      </c>
      <c r="E117" s="307">
        <f t="shared" ca="1" si="38"/>
        <v>71.249777157135924</v>
      </c>
      <c r="F117" s="304">
        <f t="shared" ca="1" si="39"/>
        <v>71.729596735738113</v>
      </c>
      <c r="G117" s="306">
        <f t="shared" ca="1" si="40"/>
        <v>8.4061768251278863</v>
      </c>
      <c r="H117" s="307">
        <f t="shared" ca="1" si="41"/>
        <v>82.169390310125422</v>
      </c>
      <c r="I117" s="304">
        <f t="shared" ca="1" si="42"/>
        <v>82.598259744095401</v>
      </c>
      <c r="J117" s="306">
        <f t="shared" ca="1" si="43"/>
        <v>4.4547934940294311</v>
      </c>
      <c r="K117" s="307">
        <f t="shared" ca="1" si="44"/>
        <v>46.168643001561698</v>
      </c>
      <c r="L117" s="304">
        <f t="shared" ca="1" si="29"/>
        <v>46.383065677896916</v>
      </c>
      <c r="M117" s="306">
        <f t="shared" ca="1" si="45"/>
        <v>1.4688479797118656</v>
      </c>
      <c r="N117" s="304">
        <f t="shared" ca="1" si="46"/>
        <v>84.158789983807466</v>
      </c>
      <c r="P117" s="310">
        <f t="shared" ca="1" si="47"/>
        <v>6</v>
      </c>
      <c r="Q117" s="304">
        <f t="shared" ca="1" si="48"/>
        <v>1006.1771929824561</v>
      </c>
      <c r="R117" s="306">
        <f t="shared" ca="1" si="49"/>
        <v>0.50402661612665978</v>
      </c>
      <c r="S117" s="307">
        <f t="shared" ca="1" si="50"/>
        <v>11.931459181365033</v>
      </c>
      <c r="T117" s="304">
        <f t="shared" ca="1" si="30"/>
        <v>117.04761456919098</v>
      </c>
      <c r="U117" s="311">
        <f t="shared" ca="1" si="31"/>
        <v>0</v>
      </c>
      <c r="V117" s="306">
        <f t="shared" ca="1" si="32"/>
        <v>1.2193573668680417</v>
      </c>
      <c r="W117" s="304">
        <f t="shared" ca="1" si="33"/>
        <v>34.574896317121642</v>
      </c>
      <c r="Y117" s="314" t="str">
        <f t="shared" ca="1" si="51"/>
        <v/>
      </c>
      <c r="Z117" s="315" t="str">
        <f t="shared" ca="1" si="52"/>
        <v/>
      </c>
      <c r="AA117" s="316" t="str">
        <f t="shared" ca="1" si="53"/>
        <v/>
      </c>
      <c r="AC117" s="310" t="e">
        <f t="shared" ca="1" si="54"/>
        <v>#N/A</v>
      </c>
      <c r="AD117" s="323" t="e">
        <f t="shared" ca="1" si="55"/>
        <v>#N/A</v>
      </c>
      <c r="AE117" s="324">
        <f t="shared" ca="1" si="34"/>
        <v>46.168643001561698</v>
      </c>
      <c r="AG117" s="306">
        <f t="shared" ca="1" si="56"/>
        <v>71.722664709198995</v>
      </c>
      <c r="AH117" s="304">
        <f t="shared" ca="1" si="57"/>
        <v>81.48184936349088</v>
      </c>
    </row>
    <row r="118" spans="1:34" x14ac:dyDescent="0.25">
      <c r="A118" s="347">
        <f t="shared" ca="1" si="35"/>
        <v>0.01</v>
      </c>
      <c r="B118" s="304">
        <f t="shared" ca="1" si="36"/>
        <v>1.1400000000000008</v>
      </c>
      <c r="D118" s="306">
        <f t="shared" ca="1" si="37"/>
        <v>8.2867010040010811</v>
      </c>
      <c r="E118" s="307">
        <f t="shared" ca="1" si="38"/>
        <v>71.191528203127547</v>
      </c>
      <c r="F118" s="304">
        <f t="shared" ca="1" si="39"/>
        <v>71.672191967501718</v>
      </c>
      <c r="G118" s="306">
        <f t="shared" ca="1" si="40"/>
        <v>8.4890438351678963</v>
      </c>
      <c r="H118" s="307">
        <f t="shared" ca="1" si="41"/>
        <v>82.881305592156693</v>
      </c>
      <c r="I118" s="304">
        <f t="shared" ca="1" si="42"/>
        <v>83.314912722128355</v>
      </c>
      <c r="J118" s="306">
        <f t="shared" ca="1" si="43"/>
        <v>4.5392695973309101</v>
      </c>
      <c r="K118" s="307">
        <f t="shared" ca="1" si="44"/>
        <v>46.993896481073108</v>
      </c>
      <c r="L118" s="304">
        <f t="shared" ca="1" si="29"/>
        <v>47.212617751519225</v>
      </c>
      <c r="M118" s="306">
        <f t="shared" ca="1" si="45"/>
        <v>1.4687281474136309</v>
      </c>
      <c r="N118" s="304">
        <f t="shared" ca="1" si="46"/>
        <v>84.151924098869273</v>
      </c>
      <c r="P118" s="310">
        <f t="shared" ca="1" si="47"/>
        <v>6</v>
      </c>
      <c r="Q118" s="304">
        <f t="shared" ca="1" si="48"/>
        <v>1005.6754385964912</v>
      </c>
      <c r="R118" s="306">
        <f t="shared" ca="1" si="49"/>
        <v>0.50377527116769194</v>
      </c>
      <c r="S118" s="307">
        <f t="shared" ca="1" si="50"/>
        <v>11.926421428653356</v>
      </c>
      <c r="T118" s="304">
        <f t="shared" ca="1" si="30"/>
        <v>116.99819421508943</v>
      </c>
      <c r="U118" s="311">
        <f t="shared" ca="1" si="31"/>
        <v>0</v>
      </c>
      <c r="V118" s="306">
        <f t="shared" ca="1" si="32"/>
        <v>1.2192567425832941</v>
      </c>
      <c r="W118" s="304">
        <f t="shared" ca="1" si="33"/>
        <v>35.174565280334804</v>
      </c>
      <c r="Y118" s="314" t="str">
        <f t="shared" ca="1" si="51"/>
        <v/>
      </c>
      <c r="Z118" s="315" t="str">
        <f t="shared" ca="1" si="52"/>
        <v/>
      </c>
      <c r="AA118" s="316" t="str">
        <f t="shared" ca="1" si="53"/>
        <v/>
      </c>
      <c r="AC118" s="310" t="e">
        <f t="shared" ca="1" si="54"/>
        <v>#N/A</v>
      </c>
      <c r="AD118" s="323" t="e">
        <f t="shared" ca="1" si="55"/>
        <v>#N/A</v>
      </c>
      <c r="AE118" s="324">
        <f t="shared" ca="1" si="34"/>
        <v>46.993896481073108</v>
      </c>
      <c r="AG118" s="306">
        <f t="shared" ca="1" si="56"/>
        <v>71.665237984107065</v>
      </c>
      <c r="AH118" s="304">
        <f t="shared" ca="1" si="57"/>
        <v>81.424302175528524</v>
      </c>
    </row>
    <row r="119" spans="1:34" x14ac:dyDescent="0.25">
      <c r="A119" s="347">
        <f t="shared" ca="1" si="35"/>
        <v>0.01</v>
      </c>
      <c r="B119" s="304">
        <f t="shared" ca="1" si="36"/>
        <v>1.1500000000000008</v>
      </c>
      <c r="D119" s="306">
        <f t="shared" ca="1" si="37"/>
        <v>8.2904979303977466</v>
      </c>
      <c r="E119" s="307">
        <f t="shared" ca="1" si="38"/>
        <v>71.132837123051374</v>
      </c>
      <c r="F119" s="304">
        <f t="shared" ca="1" si="39"/>
        <v>71.614334271209174</v>
      </c>
      <c r="G119" s="306">
        <f t="shared" ca="1" si="40"/>
        <v>8.5719488144718738</v>
      </c>
      <c r="H119" s="307">
        <f t="shared" ca="1" si="41"/>
        <v>83.5926339633872</v>
      </c>
      <c r="I119" s="304">
        <f t="shared" ca="1" si="42"/>
        <v>84.030986900159405</v>
      </c>
      <c r="J119" s="306">
        <f t="shared" ca="1" si="43"/>
        <v>4.6245745605791093</v>
      </c>
      <c r="K119" s="307">
        <f t="shared" ca="1" si="44"/>
        <v>47.82626617885083</v>
      </c>
      <c r="L119" s="304">
        <f t="shared" ca="1" si="29"/>
        <v>48.049333257357965</v>
      </c>
      <c r="M119" s="306">
        <f t="shared" ca="1" si="45"/>
        <v>1.4686091971040329</v>
      </c>
      <c r="N119" s="304">
        <f t="shared" ca="1" si="46"/>
        <v>84.145108748157526</v>
      </c>
      <c r="P119" s="310">
        <f t="shared" ca="1" si="47"/>
        <v>6</v>
      </c>
      <c r="Q119" s="304">
        <f t="shared" ca="1" si="48"/>
        <v>1005.1736842105263</v>
      </c>
      <c r="R119" s="306">
        <f t="shared" ca="1" si="49"/>
        <v>0.50352392620872399</v>
      </c>
      <c r="S119" s="307">
        <f t="shared" ca="1" si="50"/>
        <v>11.921386189391269</v>
      </c>
      <c r="T119" s="304">
        <f t="shared" ca="1" si="30"/>
        <v>116.94879851792835</v>
      </c>
      <c r="U119" s="311">
        <f t="shared" ca="1" si="31"/>
        <v>0</v>
      </c>
      <c r="V119" s="306">
        <f t="shared" ca="1" si="32"/>
        <v>1.2191552590000314</v>
      </c>
      <c r="W119" s="304">
        <f t="shared" ca="1" si="33"/>
        <v>35.778821381984415</v>
      </c>
      <c r="Y119" s="314" t="str">
        <f t="shared" ca="1" si="51"/>
        <v/>
      </c>
      <c r="Z119" s="315" t="str">
        <f t="shared" ca="1" si="52"/>
        <v/>
      </c>
      <c r="AA119" s="316" t="str">
        <f t="shared" ca="1" si="53"/>
        <v/>
      </c>
      <c r="AC119" s="310" t="e">
        <f t="shared" ca="1" si="54"/>
        <v>#N/A</v>
      </c>
      <c r="AD119" s="323" t="e">
        <f t="shared" ca="1" si="55"/>
        <v>#N/A</v>
      </c>
      <c r="AE119" s="324">
        <f t="shared" ca="1" si="34"/>
        <v>47.82626617885083</v>
      </c>
      <c r="AG119" s="306">
        <f t="shared" ca="1" si="56"/>
        <v>71.607358354642926</v>
      </c>
      <c r="AH119" s="304">
        <f t="shared" ca="1" si="57"/>
        <v>81.366302837616715</v>
      </c>
    </row>
    <row r="120" spans="1:34" x14ac:dyDescent="0.25">
      <c r="A120" s="347">
        <f t="shared" ca="1" si="35"/>
        <v>0.01</v>
      </c>
      <c r="B120" s="304">
        <f t="shared" ca="1" si="36"/>
        <v>1.1600000000000008</v>
      </c>
      <c r="D120" s="306">
        <f t="shared" ca="1" si="37"/>
        <v>8.2941635533684863</v>
      </c>
      <c r="E120" s="307">
        <f t="shared" ca="1" si="38"/>
        <v>71.073704855850252</v>
      </c>
      <c r="F120" s="304">
        <f t="shared" ca="1" si="39"/>
        <v>71.556024700835195</v>
      </c>
      <c r="G120" s="306">
        <f t="shared" ca="1" si="40"/>
        <v>8.6548904500055581</v>
      </c>
      <c r="H120" s="307">
        <f t="shared" ca="1" si="41"/>
        <v>84.3033710119457</v>
      </c>
      <c r="I120" s="304">
        <f t="shared" ca="1" si="42"/>
        <v>84.746477759723817</v>
      </c>
      <c r="J120" s="306">
        <f t="shared" ca="1" si="43"/>
        <v>4.7107087569014965</v>
      </c>
      <c r="K120" s="307">
        <f t="shared" ca="1" si="44"/>
        <v>48.665746203727494</v>
      </c>
      <c r="L120" s="304">
        <f t="shared" ca="1" si="29"/>
        <v>48.893206384506684</v>
      </c>
      <c r="M120" s="306">
        <f t="shared" ca="1" si="45"/>
        <v>1.4684911140828178</v>
      </c>
      <c r="N120" s="304">
        <f t="shared" ca="1" si="46"/>
        <v>84.138343089409744</v>
      </c>
      <c r="P120" s="310">
        <f t="shared" ca="1" si="47"/>
        <v>6</v>
      </c>
      <c r="Q120" s="304">
        <f t="shared" ca="1" si="48"/>
        <v>1004.6719298245613</v>
      </c>
      <c r="R120" s="306">
        <f t="shared" ca="1" si="49"/>
        <v>0.50327258124975605</v>
      </c>
      <c r="S120" s="307">
        <f t="shared" ca="1" si="50"/>
        <v>11.916353463578771</v>
      </c>
      <c r="T120" s="304">
        <f t="shared" ca="1" si="30"/>
        <v>116.89942747770775</v>
      </c>
      <c r="U120" s="311">
        <f t="shared" ca="1" si="31"/>
        <v>0</v>
      </c>
      <c r="V120" s="306">
        <f t="shared" ca="1" si="32"/>
        <v>1.2190529170515145</v>
      </c>
      <c r="W120" s="304">
        <f t="shared" ca="1" si="33"/>
        <v>36.38764570984651</v>
      </c>
      <c r="Y120" s="314" t="str">
        <f t="shared" ca="1" si="51"/>
        <v/>
      </c>
      <c r="Z120" s="315" t="str">
        <f t="shared" ca="1" si="52"/>
        <v/>
      </c>
      <c r="AA120" s="316" t="str">
        <f t="shared" ca="1" si="53"/>
        <v/>
      </c>
      <c r="AC120" s="310" t="e">
        <f t="shared" ca="1" si="54"/>
        <v>#N/A</v>
      </c>
      <c r="AD120" s="323" t="e">
        <f t="shared" ca="1" si="55"/>
        <v>#N/A</v>
      </c>
      <c r="AE120" s="324">
        <f t="shared" ca="1" si="34"/>
        <v>48.665746203727494</v>
      </c>
      <c r="AG120" s="306">
        <f t="shared" ca="1" si="56"/>
        <v>71.549026872893165</v>
      </c>
      <c r="AH120" s="304">
        <f t="shared" ca="1" si="57"/>
        <v>81.307852389903402</v>
      </c>
    </row>
    <row r="121" spans="1:34" x14ac:dyDescent="0.25">
      <c r="A121" s="347">
        <f t="shared" ca="1" si="35"/>
        <v>0.01</v>
      </c>
      <c r="B121" s="304">
        <f t="shared" ca="1" si="36"/>
        <v>1.1700000000000008</v>
      </c>
      <c r="D121" s="306">
        <f t="shared" ca="1" si="37"/>
        <v>8.2976991650215322</v>
      </c>
      <c r="E121" s="307">
        <f t="shared" ca="1" si="38"/>
        <v>71.0141323555832</v>
      </c>
      <c r="F121" s="304">
        <f t="shared" ca="1" si="39"/>
        <v>71.497264322836074</v>
      </c>
      <c r="G121" s="306">
        <f t="shared" ca="1" si="40"/>
        <v>8.7378674416557729</v>
      </c>
      <c r="H121" s="307">
        <f t="shared" ca="1" si="41"/>
        <v>85.013512335501531</v>
      </c>
      <c r="I121" s="304">
        <f t="shared" ca="1" si="42"/>
        <v>85.461380793001581</v>
      </c>
      <c r="J121" s="306">
        <f t="shared" ca="1" si="43"/>
        <v>4.7976725463598031</v>
      </c>
      <c r="K121" s="307">
        <f t="shared" ca="1" si="44"/>
        <v>49.512330620464731</v>
      </c>
      <c r="L121" s="304">
        <f t="shared" ca="1" si="29"/>
        <v>49.744231276926008</v>
      </c>
      <c r="M121" s="306">
        <f t="shared" ca="1" si="45"/>
        <v>1.4683738840137019</v>
      </c>
      <c r="N121" s="304">
        <f t="shared" ca="1" si="46"/>
        <v>84.131626301217381</v>
      </c>
      <c r="P121" s="310">
        <f t="shared" ca="1" si="47"/>
        <v>6</v>
      </c>
      <c r="Q121" s="304">
        <f t="shared" ca="1" si="48"/>
        <v>1004.1701754385964</v>
      </c>
      <c r="R121" s="306">
        <f t="shared" ca="1" si="49"/>
        <v>0.50302123629078821</v>
      </c>
      <c r="S121" s="307">
        <f t="shared" ca="1" si="50"/>
        <v>11.911323251215864</v>
      </c>
      <c r="T121" s="304">
        <f t="shared" ca="1" si="30"/>
        <v>116.85008109442762</v>
      </c>
      <c r="U121" s="311">
        <f t="shared" ca="1" si="31"/>
        <v>0</v>
      </c>
      <c r="V121" s="306">
        <f t="shared" ca="1" si="32"/>
        <v>1.2189497176779269</v>
      </c>
      <c r="W121" s="304">
        <f t="shared" ca="1" si="33"/>
        <v>37.001019227930023</v>
      </c>
      <c r="Y121" s="314" t="str">
        <f t="shared" ca="1" si="51"/>
        <v/>
      </c>
      <c r="Z121" s="315" t="str">
        <f t="shared" ca="1" si="52"/>
        <v/>
      </c>
      <c r="AA121" s="316" t="str">
        <f t="shared" ca="1" si="53"/>
        <v/>
      </c>
      <c r="AC121" s="310" t="e">
        <f t="shared" ca="1" si="54"/>
        <v>#N/A</v>
      </c>
      <c r="AD121" s="323" t="e">
        <f t="shared" ca="1" si="55"/>
        <v>#N/A</v>
      </c>
      <c r="AE121" s="324">
        <f t="shared" ca="1" si="34"/>
        <v>49.512330620464731</v>
      </c>
      <c r="AG121" s="306">
        <f t="shared" ca="1" si="56"/>
        <v>71.490244603462045</v>
      </c>
      <c r="AH121" s="304">
        <f t="shared" ca="1" si="57"/>
        <v>81.248951885338371</v>
      </c>
    </row>
    <row r="122" spans="1:34" x14ac:dyDescent="0.25">
      <c r="A122" s="347">
        <f t="shared" ca="1" si="35"/>
        <v>0.01</v>
      </c>
      <c r="B122" s="304">
        <f t="shared" ca="1" si="36"/>
        <v>1.1800000000000008</v>
      </c>
      <c r="D122" s="306">
        <f t="shared" ca="1" si="37"/>
        <v>8.3011060286929119</v>
      </c>
      <c r="E122" s="307">
        <f t="shared" ca="1" si="38"/>
        <v>70.954120591289779</v>
      </c>
      <c r="F122" s="304">
        <f t="shared" ca="1" si="39"/>
        <v>71.438054216103154</v>
      </c>
      <c r="G122" s="306">
        <f t="shared" ca="1" si="40"/>
        <v>8.8208785019427012</v>
      </c>
      <c r="H122" s="307">
        <f t="shared" ca="1" si="41"/>
        <v>85.72305354141443</v>
      </c>
      <c r="I122" s="304">
        <f t="shared" ca="1" si="42"/>
        <v>86.175691502942058</v>
      </c>
      <c r="J122" s="306">
        <f t="shared" ca="1" si="43"/>
        <v>4.8854662760777954</v>
      </c>
      <c r="K122" s="307">
        <f t="shared" ca="1" si="44"/>
        <v>50.366013449849312</v>
      </c>
      <c r="L122" s="304">
        <f t="shared" ca="1" si="29"/>
        <v>50.602402033550696</v>
      </c>
      <c r="M122" s="306">
        <f t="shared" ca="1" si="45"/>
        <v>1.46825749291231</v>
      </c>
      <c r="N122" s="304">
        <f t="shared" ca="1" si="46"/>
        <v>84.124957582334744</v>
      </c>
      <c r="P122" s="310">
        <f t="shared" ca="1" si="47"/>
        <v>6</v>
      </c>
      <c r="Q122" s="304">
        <f t="shared" ca="1" si="48"/>
        <v>1003.6684210526315</v>
      </c>
      <c r="R122" s="306">
        <f t="shared" ca="1" si="49"/>
        <v>0.50276989133182026</v>
      </c>
      <c r="S122" s="307">
        <f t="shared" ca="1" si="50"/>
        <v>11.906295552302545</v>
      </c>
      <c r="T122" s="304">
        <f t="shared" ca="1" si="30"/>
        <v>116.80075936808797</v>
      </c>
      <c r="U122" s="311">
        <f t="shared" ca="1" si="31"/>
        <v>0</v>
      </c>
      <c r="V122" s="306">
        <f t="shared" ca="1" si="32"/>
        <v>1.218845661826355</v>
      </c>
      <c r="W122" s="304">
        <f t="shared" ca="1" si="33"/>
        <v>37.618922777455367</v>
      </c>
      <c r="Y122" s="314" t="str">
        <f t="shared" ca="1" si="51"/>
        <v/>
      </c>
      <c r="Z122" s="315" t="str">
        <f t="shared" ca="1" si="52"/>
        <v/>
      </c>
      <c r="AA122" s="316" t="str">
        <f t="shared" ca="1" si="53"/>
        <v/>
      </c>
      <c r="AC122" s="310" t="e">
        <f t="shared" ca="1" si="54"/>
        <v>#N/A</v>
      </c>
      <c r="AD122" s="323" t="e">
        <f t="shared" ca="1" si="55"/>
        <v>#N/A</v>
      </c>
      <c r="AE122" s="324">
        <f t="shared" ca="1" si="34"/>
        <v>50.366013449849312</v>
      </c>
      <c r="AG122" s="306">
        <f t="shared" ca="1" si="56"/>
        <v>71.431012623423811</v>
      </c>
      <c r="AH122" s="304">
        <f t="shared" ca="1" si="57"/>
        <v>81.189602389616368</v>
      </c>
    </row>
    <row r="123" spans="1:34" x14ac:dyDescent="0.25">
      <c r="A123" s="347">
        <f t="shared" ca="1" si="35"/>
        <v>0.01</v>
      </c>
      <c r="B123" s="304">
        <f t="shared" ca="1" si="36"/>
        <v>1.1900000000000008</v>
      </c>
      <c r="D123" s="306">
        <f t="shared" ca="1" si="37"/>
        <v>8.3043853799575249</v>
      </c>
      <c r="E123" s="307">
        <f t="shared" ca="1" si="38"/>
        <v>70.893670546857095</v>
      </c>
      <c r="F123" s="304">
        <f t="shared" ca="1" si="39"/>
        <v>71.378395471915482</v>
      </c>
      <c r="G123" s="306">
        <f t="shared" ca="1" si="40"/>
        <v>8.9039223557422762</v>
      </c>
      <c r="H123" s="307">
        <f t="shared" ca="1" si="41"/>
        <v>86.431990246883004</v>
      </c>
      <c r="I123" s="304">
        <f t="shared" ca="1" si="42"/>
        <v>86.889405403388309</v>
      </c>
      <c r="J123" s="306">
        <f t="shared" ca="1" si="43"/>
        <v>4.9740902803662204</v>
      </c>
      <c r="K123" s="307">
        <f t="shared" ca="1" si="44"/>
        <v>51.226788668790796</v>
      </c>
      <c r="L123" s="304">
        <f t="shared" ca="1" si="29"/>
        <v>51.46771270839794</v>
      </c>
      <c r="M123" s="306">
        <f t="shared" ca="1" si="45"/>
        <v>1.468141927134613</v>
      </c>
      <c r="N123" s="304">
        <f t="shared" ca="1" si="46"/>
        <v>84.118336151016564</v>
      </c>
      <c r="P123" s="310">
        <f t="shared" ca="1" si="47"/>
        <v>6</v>
      </c>
      <c r="Q123" s="304">
        <f t="shared" ca="1" si="48"/>
        <v>1003.1666666666666</v>
      </c>
      <c r="R123" s="306">
        <f t="shared" ca="1" si="49"/>
        <v>0.50251854637285243</v>
      </c>
      <c r="S123" s="307">
        <f t="shared" ca="1" si="50"/>
        <v>11.901270366838817</v>
      </c>
      <c r="T123" s="304">
        <f t="shared" ca="1" si="30"/>
        <v>116.75146229868881</v>
      </c>
      <c r="U123" s="311">
        <f t="shared" ca="1" si="31"/>
        <v>0</v>
      </c>
      <c r="V123" s="306">
        <f t="shared" ca="1" si="32"/>
        <v>1.2187407504507672</v>
      </c>
      <c r="W123" s="304">
        <f t="shared" ca="1" si="33"/>
        <v>38.241337077839979</v>
      </c>
      <c r="Y123" s="314" t="str">
        <f t="shared" ca="1" si="51"/>
        <v/>
      </c>
      <c r="Z123" s="315" t="str">
        <f t="shared" ca="1" si="52"/>
        <v/>
      </c>
      <c r="AA123" s="316" t="str">
        <f t="shared" ca="1" si="53"/>
        <v/>
      </c>
      <c r="AC123" s="310" t="e">
        <f t="shared" ca="1" si="54"/>
        <v>#N/A</v>
      </c>
      <c r="AD123" s="323" t="e">
        <f t="shared" ca="1" si="55"/>
        <v>#N/A</v>
      </c>
      <c r="AE123" s="324">
        <f t="shared" ca="1" si="34"/>
        <v>51.226788668790796</v>
      </c>
      <c r="AG123" s="306">
        <f t="shared" ca="1" si="56"/>
        <v>71.371332022274075</v>
      </c>
      <c r="AH123" s="304">
        <f t="shared" ca="1" si="57"/>
        <v>81.129804981119619</v>
      </c>
    </row>
    <row r="124" spans="1:34" x14ac:dyDescent="0.25">
      <c r="A124" s="347">
        <f t="shared" ca="1" si="35"/>
        <v>0.01</v>
      </c>
      <c r="B124" s="304">
        <f t="shared" ca="1" si="36"/>
        <v>1.2000000000000008</v>
      </c>
      <c r="D124" s="306">
        <f t="shared" ca="1" si="37"/>
        <v>8.3075384275979349</v>
      </c>
      <c r="E124" s="307">
        <f t="shared" ca="1" si="38"/>
        <v>70.832783220888928</v>
      </c>
      <c r="F124" s="304">
        <f t="shared" ca="1" si="39"/>
        <v>71.318289193890934</v>
      </c>
      <c r="G124" s="306">
        <f t="shared" ca="1" si="40"/>
        <v>8.9869977400182552</v>
      </c>
      <c r="H124" s="307">
        <f t="shared" ca="1" si="41"/>
        <v>87.140318079091898</v>
      </c>
      <c r="I124" s="304">
        <f t="shared" ca="1" si="42"/>
        <v>87.602518019200815</v>
      </c>
      <c r="J124" s="306">
        <f t="shared" ca="1" si="43"/>
        <v>5.063544880845023</v>
      </c>
      <c r="K124" s="307">
        <f t="shared" ca="1" si="44"/>
        <v>52.094650210420667</v>
      </c>
      <c r="L124" s="304">
        <f t="shared" ca="1" si="29"/>
        <v>52.340157310676986</v>
      </c>
      <c r="M124" s="306">
        <f t="shared" ca="1" si="45"/>
        <v>1.4680271733658379</v>
      </c>
      <c r="N124" s="304">
        <f t="shared" ca="1" si="46"/>
        <v>84.111761244382521</v>
      </c>
      <c r="P124" s="310">
        <f t="shared" ca="1" si="47"/>
        <v>6</v>
      </c>
      <c r="Q124" s="304">
        <f t="shared" ca="1" si="48"/>
        <v>1002.6649122807017</v>
      </c>
      <c r="R124" s="306">
        <f t="shared" ca="1" si="49"/>
        <v>0.50226720141388459</v>
      </c>
      <c r="S124" s="307">
        <f t="shared" ca="1" si="50"/>
        <v>11.896247694824678</v>
      </c>
      <c r="T124" s="304">
        <f t="shared" ca="1" si="30"/>
        <v>116.7021898862301</v>
      </c>
      <c r="U124" s="311">
        <f t="shared" ca="1" si="31"/>
        <v>0</v>
      </c>
      <c r="V124" s="306">
        <f t="shared" ca="1" si="32"/>
        <v>1.2186349845119953</v>
      </c>
      <c r="W124" s="304">
        <f t="shared" ca="1" si="33"/>
        <v>38.868242727690792</v>
      </c>
      <c r="Y124" s="314" t="str">
        <f t="shared" ca="1" si="51"/>
        <v/>
      </c>
      <c r="Z124" s="315" t="str">
        <f t="shared" ca="1" si="52"/>
        <v/>
      </c>
      <c r="AA124" s="316" t="str">
        <f t="shared" ca="1" si="53"/>
        <v/>
      </c>
      <c r="AC124" s="310" t="e">
        <f t="shared" ca="1" si="54"/>
        <v>#N/A</v>
      </c>
      <c r="AD124" s="323" t="e">
        <f t="shared" ca="1" si="55"/>
        <v>#N/A</v>
      </c>
      <c r="AE124" s="324">
        <f t="shared" ca="1" si="34"/>
        <v>52.094650210420667</v>
      </c>
      <c r="AG124" s="306">
        <f t="shared" ca="1" si="56"/>
        <v>71.311203901879892</v>
      </c>
      <c r="AH124" s="304">
        <f t="shared" ca="1" si="57"/>
        <v>81.069560750859523</v>
      </c>
    </row>
    <row r="125" spans="1:34" x14ac:dyDescent="0.25">
      <c r="A125" s="347">
        <f t="shared" ca="1" si="35"/>
        <v>0.01</v>
      </c>
      <c r="B125" s="304">
        <f t="shared" ca="1" si="36"/>
        <v>1.2100000000000009</v>
      </c>
      <c r="D125" s="306">
        <f t="shared" ca="1" si="37"/>
        <v>8.3105663545331829</v>
      </c>
      <c r="E125" s="307">
        <f t="shared" ca="1" si="38"/>
        <v>70.771459626577069</v>
      </c>
      <c r="F125" s="304">
        <f t="shared" ca="1" si="39"/>
        <v>71.257736497936335</v>
      </c>
      <c r="G125" s="306">
        <f t="shared" ca="1" si="40"/>
        <v>9.0701034035635875</v>
      </c>
      <c r="H125" s="307">
        <f t="shared" ca="1" si="41"/>
        <v>87.848032675357672</v>
      </c>
      <c r="I125" s="304">
        <f t="shared" ca="1" si="42"/>
        <v>88.315024886380712</v>
      </c>
      <c r="J125" s="306">
        <f t="shared" ca="1" si="43"/>
        <v>5.153830386562932</v>
      </c>
      <c r="K125" s="307">
        <f t="shared" ca="1" si="44"/>
        <v>52.969591964192915</v>
      </c>
      <c r="L125" s="304">
        <f t="shared" ca="1" si="29"/>
        <v>53.219729804899892</v>
      </c>
      <c r="M125" s="306">
        <f t="shared" ca="1" si="45"/>
        <v>1.4679132186098314</v>
      </c>
      <c r="N125" s="304">
        <f t="shared" ca="1" si="46"/>
        <v>84.105232117807915</v>
      </c>
      <c r="P125" s="310">
        <f t="shared" ca="1" si="47"/>
        <v>6</v>
      </c>
      <c r="Q125" s="304">
        <f t="shared" ca="1" si="48"/>
        <v>1002.1631578947367</v>
      </c>
      <c r="R125" s="306">
        <f t="shared" ca="1" si="49"/>
        <v>0.50201585645491664</v>
      </c>
      <c r="S125" s="307">
        <f t="shared" ca="1" si="50"/>
        <v>11.891227536260129</v>
      </c>
      <c r="T125" s="304">
        <f t="shared" ca="1" si="30"/>
        <v>116.65294213071186</v>
      </c>
      <c r="U125" s="311">
        <f t="shared" ca="1" si="31"/>
        <v>0</v>
      </c>
      <c r="V125" s="306">
        <f t="shared" ca="1" si="32"/>
        <v>1.2185283649777101</v>
      </c>
      <c r="W125" s="304">
        <f t="shared" ca="1" si="33"/>
        <v>39.499620205803247</v>
      </c>
      <c r="Y125" s="314" t="str">
        <f t="shared" ca="1" si="51"/>
        <v/>
      </c>
      <c r="Z125" s="315" t="str">
        <f t="shared" ca="1" si="52"/>
        <v/>
      </c>
      <c r="AA125" s="316" t="str">
        <f t="shared" ca="1" si="53"/>
        <v/>
      </c>
      <c r="AC125" s="310" t="e">
        <f t="shared" ca="1" si="54"/>
        <v>#N/A</v>
      </c>
      <c r="AD125" s="323" t="e">
        <f t="shared" ca="1" si="55"/>
        <v>#N/A</v>
      </c>
      <c r="AE125" s="324">
        <f t="shared" ca="1" si="34"/>
        <v>52.969591964192915</v>
      </c>
      <c r="AG125" s="306">
        <f t="shared" ca="1" si="56"/>
        <v>71.250629376428734</v>
      </c>
      <c r="AH125" s="304">
        <f t="shared" ca="1" si="57"/>
        <v>81.008870802417491</v>
      </c>
    </row>
    <row r="126" spans="1:34" x14ac:dyDescent="0.25">
      <c r="A126" s="347">
        <f t="shared" ca="1" si="35"/>
        <v>0.01</v>
      </c>
      <c r="B126" s="304">
        <f t="shared" ca="1" si="36"/>
        <v>1.2200000000000009</v>
      </c>
      <c r="D126" s="306">
        <f t="shared" ca="1" si="37"/>
        <v>8.3134703187092143</v>
      </c>
      <c r="E126" s="307">
        <f t="shared" ca="1" si="38"/>
        <v>70.709700791574704</v>
      </c>
      <c r="F126" s="304">
        <f t="shared" ca="1" si="39"/>
        <v>71.196738512196461</v>
      </c>
      <c r="G126" s="306">
        <f t="shared" ca="1" si="40"/>
        <v>9.1532381067506794</v>
      </c>
      <c r="H126" s="307">
        <f t="shared" ca="1" si="41"/>
        <v>88.555129683273421</v>
      </c>
      <c r="I126" s="304">
        <f t="shared" ca="1" si="42"/>
        <v>89.026921552192547</v>
      </c>
      <c r="J126" s="306">
        <f t="shared" ca="1" si="43"/>
        <v>5.2449470941145035</v>
      </c>
      <c r="K126" s="307">
        <f t="shared" ca="1" si="44"/>
        <v>53.851607775986068</v>
      </c>
      <c r="L126" s="304">
        <f t="shared" ca="1" si="29"/>
        <v>54.106424110993544</v>
      </c>
      <c r="M126" s="306">
        <f t="shared" ca="1" si="45"/>
        <v>1.4678000501788495</v>
      </c>
      <c r="N126" s="304">
        <f t="shared" ca="1" si="46"/>
        <v>84.098748044338535</v>
      </c>
      <c r="P126" s="310">
        <f t="shared" ca="1" si="47"/>
        <v>6</v>
      </c>
      <c r="Q126" s="304">
        <f t="shared" ca="1" si="48"/>
        <v>1001.6614035087719</v>
      </c>
      <c r="R126" s="306">
        <f t="shared" ca="1" si="49"/>
        <v>0.5017645114959487</v>
      </c>
      <c r="S126" s="307">
        <f t="shared" ca="1" si="50"/>
        <v>11.886209891145169</v>
      </c>
      <c r="T126" s="304">
        <f t="shared" ca="1" si="30"/>
        <v>116.60371903213412</v>
      </c>
      <c r="U126" s="311">
        <f t="shared" ca="1" si="31"/>
        <v>0</v>
      </c>
      <c r="V126" s="306">
        <f t="shared" ca="1" si="32"/>
        <v>1.2184208928224041</v>
      </c>
      <c r="W126" s="304">
        <f t="shared" ca="1" si="33"/>
        <v>40.135449872167321</v>
      </c>
      <c r="Y126" s="314" t="str">
        <f t="shared" ca="1" si="51"/>
        <v/>
      </c>
      <c r="Z126" s="315" t="str">
        <f t="shared" ca="1" si="52"/>
        <v/>
      </c>
      <c r="AA126" s="316" t="str">
        <f t="shared" ca="1" si="53"/>
        <v/>
      </c>
      <c r="AC126" s="310" t="e">
        <f t="shared" ca="1" si="54"/>
        <v>#N/A</v>
      </c>
      <c r="AD126" s="323" t="e">
        <f t="shared" ca="1" si="55"/>
        <v>#N/A</v>
      </c>
      <c r="AE126" s="324">
        <f t="shared" ca="1" si="34"/>
        <v>53.851607775986068</v>
      </c>
      <c r="AG126" s="306">
        <f t="shared" ca="1" si="56"/>
        <v>71.189609572376611</v>
      </c>
      <c r="AH126" s="304">
        <f t="shared" ca="1" si="57"/>
        <v>80.947736251885232</v>
      </c>
    </row>
    <row r="127" spans="1:34" x14ac:dyDescent="0.25">
      <c r="A127" s="347">
        <f t="shared" ca="1" si="35"/>
        <v>0.01</v>
      </c>
      <c r="B127" s="304">
        <f t="shared" ca="1" si="36"/>
        <v>1.2300000000000009</v>
      </c>
      <c r="D127" s="306">
        <f t="shared" ca="1" si="37"/>
        <v>8.3162514539532282</v>
      </c>
      <c r="E127" s="307">
        <f t="shared" ca="1" si="38"/>
        <v>70.647507757871651</v>
      </c>
      <c r="F127" s="304">
        <f t="shared" ca="1" si="39"/>
        <v>71.135296377001993</v>
      </c>
      <c r="G127" s="306">
        <f t="shared" ca="1" si="40"/>
        <v>9.2364006212902119</v>
      </c>
      <c r="H127" s="307">
        <f t="shared" ca="1" si="41"/>
        <v>89.261604760852137</v>
      </c>
      <c r="I127" s="304">
        <f t="shared" ca="1" si="42"/>
        <v>89.738203575286434</v>
      </c>
      <c r="J127" s="306">
        <f t="shared" ca="1" si="43"/>
        <v>5.3368952877547082</v>
      </c>
      <c r="K127" s="307">
        <f t="shared" ca="1" si="44"/>
        <v>54.740691448206697</v>
      </c>
      <c r="L127" s="304">
        <f t="shared" ca="1" si="29"/>
        <v>55.000234104412939</v>
      </c>
      <c r="M127" s="306">
        <f t="shared" ca="1" si="45"/>
        <v>1.4676876556837581</v>
      </c>
      <c r="N127" s="304">
        <f t="shared" ca="1" si="46"/>
        <v>84.092308314129298</v>
      </c>
      <c r="P127" s="310">
        <f t="shared" ca="1" si="47"/>
        <v>6</v>
      </c>
      <c r="Q127" s="304">
        <f t="shared" ca="1" si="48"/>
        <v>1001.159649122807</v>
      </c>
      <c r="R127" s="306">
        <f t="shared" ca="1" si="49"/>
        <v>0.50151316653698086</v>
      </c>
      <c r="S127" s="307">
        <f t="shared" ca="1" si="50"/>
        <v>11.881194759479799</v>
      </c>
      <c r="T127" s="304">
        <f t="shared" ca="1" si="30"/>
        <v>116.55452059049684</v>
      </c>
      <c r="U127" s="311">
        <f t="shared" ca="1" si="31"/>
        <v>0</v>
      </c>
      <c r="V127" s="306">
        <f t="shared" ca="1" si="32"/>
        <v>1.2183125690273677</v>
      </c>
      <c r="W127" s="304">
        <f t="shared" ca="1" si="33"/>
        <v>40.775711968979742</v>
      </c>
      <c r="Y127" s="314" t="str">
        <f t="shared" ca="1" si="51"/>
        <v/>
      </c>
      <c r="Z127" s="315" t="str">
        <f t="shared" ca="1" si="52"/>
        <v/>
      </c>
      <c r="AA127" s="316" t="str">
        <f t="shared" ca="1" si="53"/>
        <v/>
      </c>
      <c r="AC127" s="310" t="e">
        <f t="shared" ca="1" si="54"/>
        <v>#N/A</v>
      </c>
      <c r="AD127" s="323" t="e">
        <f t="shared" ca="1" si="55"/>
        <v>#N/A</v>
      </c>
      <c r="AE127" s="324">
        <f t="shared" ca="1" si="34"/>
        <v>54.740691448206697</v>
      </c>
      <c r="AG127" s="306">
        <f t="shared" ca="1" si="56"/>
        <v>71.128145628394847</v>
      </c>
      <c r="AH127" s="304">
        <f t="shared" ca="1" si="57"/>
        <v>80.886158227804074</v>
      </c>
    </row>
    <row r="128" spans="1:34" x14ac:dyDescent="0.25">
      <c r="A128" s="347">
        <f t="shared" ca="1" si="35"/>
        <v>0.01</v>
      </c>
      <c r="B128" s="304">
        <f t="shared" ca="1" si="36"/>
        <v>1.2400000000000009</v>
      </c>
      <c r="D128" s="306">
        <f t="shared" ca="1" si="37"/>
        <v>8.3189108707932462</v>
      </c>
      <c r="E128" s="307">
        <f t="shared" ca="1" si="38"/>
        <v>70.584881581671425</v>
      </c>
      <c r="F128" s="304">
        <f t="shared" ca="1" si="39"/>
        <v>71.073411244816299</v>
      </c>
      <c r="G128" s="306">
        <f t="shared" ca="1" si="40"/>
        <v>9.3195897299981443</v>
      </c>
      <c r="H128" s="307">
        <f t="shared" ca="1" si="41"/>
        <v>89.967453576668845</v>
      </c>
      <c r="I128" s="304">
        <f t="shared" ca="1" si="42"/>
        <v>90.44886652581971</v>
      </c>
      <c r="J128" s="306">
        <f t="shared" ca="1" si="43"/>
        <v>5.4296752395111501</v>
      </c>
      <c r="K128" s="307">
        <f t="shared" ca="1" si="44"/>
        <v>55.636836739894299</v>
      </c>
      <c r="L128" s="304">
        <f t="shared" ca="1" si="29"/>
        <v>55.901153616255655</v>
      </c>
      <c r="M128" s="306">
        <f t="shared" ca="1" si="45"/>
        <v>1.4675760230246206</v>
      </c>
      <c r="N128" s="304">
        <f t="shared" ca="1" si="46"/>
        <v>84.085912233904892</v>
      </c>
      <c r="P128" s="310">
        <f t="shared" ca="1" si="47"/>
        <v>6</v>
      </c>
      <c r="Q128" s="304">
        <f t="shared" ca="1" si="48"/>
        <v>1000.6578947368421</v>
      </c>
      <c r="R128" s="306">
        <f t="shared" ca="1" si="49"/>
        <v>0.50126182157801302</v>
      </c>
      <c r="S128" s="307">
        <f t="shared" ca="1" si="50"/>
        <v>11.876182141264019</v>
      </c>
      <c r="T128" s="304">
        <f t="shared" ca="1" si="30"/>
        <v>116.50534680580003</v>
      </c>
      <c r="U128" s="311">
        <f t="shared" ca="1" si="31"/>
        <v>0</v>
      </c>
      <c r="V128" s="306">
        <f t="shared" ca="1" si="32"/>
        <v>1.2182033945806683</v>
      </c>
      <c r="W128" s="304">
        <f t="shared" ca="1" si="33"/>
        <v>41.420386621662942</v>
      </c>
      <c r="Y128" s="314" t="str">
        <f t="shared" ca="1" si="51"/>
        <v/>
      </c>
      <c r="Z128" s="315" t="str">
        <f t="shared" ca="1" si="52"/>
        <v/>
      </c>
      <c r="AA128" s="316" t="str">
        <f t="shared" ca="1" si="53"/>
        <v/>
      </c>
      <c r="AC128" s="310" t="e">
        <f t="shared" ca="1" si="54"/>
        <v>#N/A</v>
      </c>
      <c r="AD128" s="323" t="e">
        <f t="shared" ca="1" si="55"/>
        <v>#N/A</v>
      </c>
      <c r="AE128" s="324">
        <f t="shared" ca="1" si="34"/>
        <v>55.636836739894299</v>
      </c>
      <c r="AG128" s="306">
        <f t="shared" ca="1" si="56"/>
        <v>71.066238695315946</v>
      </c>
      <c r="AH128" s="304">
        <f t="shared" ca="1" si="57"/>
        <v>80.824137871103673</v>
      </c>
    </row>
    <row r="129" spans="1:34" x14ac:dyDescent="0.25">
      <c r="A129" s="347">
        <f t="shared" ca="1" si="35"/>
        <v>0.01</v>
      </c>
      <c r="B129" s="304">
        <f t="shared" ca="1" si="36"/>
        <v>1.2500000000000009</v>
      </c>
      <c r="D129" s="306">
        <f t="shared" ca="1" si="37"/>
        <v>8.3214496572448979</v>
      </c>
      <c r="E129" s="307">
        <f t="shared" ca="1" si="38"/>
        <v>70.521823333269879</v>
      </c>
      <c r="F129" s="304">
        <f t="shared" ca="1" si="39"/>
        <v>71.011084280181137</v>
      </c>
      <c r="G129" s="306">
        <f t="shared" ca="1" si="40"/>
        <v>9.4028042265705931</v>
      </c>
      <c r="H129" s="307">
        <f t="shared" ca="1" si="41"/>
        <v>90.672671810001546</v>
      </c>
      <c r="I129" s="304">
        <f t="shared" ca="1" si="42"/>
        <v>91.158905985578073</v>
      </c>
      <c r="J129" s="306">
        <f t="shared" ca="1" si="43"/>
        <v>5.5232872092939935</v>
      </c>
      <c r="K129" s="307">
        <f t="shared" ca="1" si="44"/>
        <v>56.540037366827654</v>
      </c>
      <c r="L129" s="304">
        <f t="shared" ca="1" si="29"/>
        <v>56.809176433377537</v>
      </c>
      <c r="M129" s="306">
        <f t="shared" ca="1" si="45"/>
        <v>1.4674651403816568</v>
      </c>
      <c r="N129" s="304">
        <f t="shared" ca="1" si="46"/>
        <v>84.079559126441808</v>
      </c>
      <c r="P129" s="310">
        <f t="shared" ca="1" si="47"/>
        <v>6</v>
      </c>
      <c r="Q129" s="304">
        <f t="shared" ca="1" si="48"/>
        <v>1000.1561403508771</v>
      </c>
      <c r="R129" s="306">
        <f t="shared" ca="1" si="49"/>
        <v>0.50101047661904508</v>
      </c>
      <c r="S129" s="307">
        <f t="shared" ca="1" si="50"/>
        <v>11.871172036497828</v>
      </c>
      <c r="T129" s="304">
        <f t="shared" ca="1" si="30"/>
        <v>116.45619767804371</v>
      </c>
      <c r="U129" s="311">
        <f t="shared" ca="1" si="31"/>
        <v>0</v>
      </c>
      <c r="V129" s="306">
        <f t="shared" ca="1" si="32"/>
        <v>1.2180933704771288</v>
      </c>
      <c r="W129" s="304">
        <f t="shared" ca="1" si="33"/>
        <v>42.069453839890294</v>
      </c>
      <c r="Y129" s="314" t="str">
        <f t="shared" ca="1" si="51"/>
        <v/>
      </c>
      <c r="Z129" s="315" t="str">
        <f t="shared" ca="1" si="52"/>
        <v/>
      </c>
      <c r="AA129" s="316" t="str">
        <f t="shared" ca="1" si="53"/>
        <v/>
      </c>
      <c r="AC129" s="310" t="e">
        <f t="shared" ca="1" si="54"/>
        <v>#N/A</v>
      </c>
      <c r="AD129" s="323" t="e">
        <f t="shared" ca="1" si="55"/>
        <v>#N/A</v>
      </c>
      <c r="AE129" s="324">
        <f t="shared" ca="1" si="34"/>
        <v>56.540037366827654</v>
      </c>
      <c r="AG129" s="306">
        <f t="shared" ca="1" si="56"/>
        <v>71.00388993607848</v>
      </c>
      <c r="AH129" s="304">
        <f t="shared" ca="1" si="57"/>
        <v>80.761676335039908</v>
      </c>
    </row>
    <row r="130" spans="1:34" x14ac:dyDescent="0.25">
      <c r="A130" s="347">
        <f t="shared" ca="1" si="35"/>
        <v>0.01</v>
      </c>
      <c r="B130" s="304">
        <f t="shared" ca="1" si="36"/>
        <v>1.2600000000000009</v>
      </c>
      <c r="D130" s="306">
        <f t="shared" ca="1" si="37"/>
        <v>8.3238688795667866</v>
      </c>
      <c r="E130" s="307">
        <f t="shared" ca="1" si="38"/>
        <v>70.458334096935445</v>
      </c>
      <c r="F130" s="304">
        <f t="shared" ca="1" si="39"/>
        <v>70.948316659661472</v>
      </c>
      <c r="G130" s="306">
        <f t="shared" ca="1" si="40"/>
        <v>9.4860429153662604</v>
      </c>
      <c r="H130" s="307">
        <f t="shared" ca="1" si="41"/>
        <v>91.377255150970896</v>
      </c>
      <c r="I130" s="304">
        <f t="shared" ca="1" si="42"/>
        <v>91.86831754809603</v>
      </c>
      <c r="J130" s="306">
        <f t="shared" ca="1" si="43"/>
        <v>5.6177314450036775</v>
      </c>
      <c r="K130" s="307">
        <f t="shared" ca="1" si="44"/>
        <v>57.450287001632518</v>
      </c>
      <c r="L130" s="304">
        <f t="shared" ca="1" si="29"/>
        <v>57.7242962985096</v>
      </c>
      <c r="M130" s="306">
        <f t="shared" ca="1" si="45"/>
        <v>1.4673549962065537</v>
      </c>
      <c r="N130" s="304">
        <f t="shared" ca="1" si="46"/>
        <v>84.073248330070456</v>
      </c>
      <c r="P130" s="310">
        <f t="shared" ca="1" si="47"/>
        <v>6</v>
      </c>
      <c r="Q130" s="304">
        <f t="shared" ca="1" si="48"/>
        <v>999.65438596491219</v>
      </c>
      <c r="R130" s="306">
        <f t="shared" ca="1" si="49"/>
        <v>0.50075913166007713</v>
      </c>
      <c r="S130" s="307">
        <f t="shared" ca="1" si="50"/>
        <v>11.866164445181228</v>
      </c>
      <c r="T130" s="304">
        <f t="shared" ca="1" si="30"/>
        <v>116.40707320722785</v>
      </c>
      <c r="U130" s="311">
        <f t="shared" ca="1" si="31"/>
        <v>0</v>
      </c>
      <c r="V130" s="306">
        <f t="shared" ca="1" si="32"/>
        <v>1.217982497718306</v>
      </c>
      <c r="W130" s="304">
        <f t="shared" ca="1" si="33"/>
        <v>42.722893518617667</v>
      </c>
      <c r="Y130" s="314" t="str">
        <f t="shared" ca="1" si="51"/>
        <v/>
      </c>
      <c r="Z130" s="315" t="str">
        <f t="shared" ca="1" si="52"/>
        <v/>
      </c>
      <c r="AA130" s="316" t="str">
        <f t="shared" ca="1" si="53"/>
        <v/>
      </c>
      <c r="AC130" s="310" t="e">
        <f t="shared" ca="1" si="54"/>
        <v>#N/A</v>
      </c>
      <c r="AD130" s="323" t="e">
        <f t="shared" ca="1" si="55"/>
        <v>#N/A</v>
      </c>
      <c r="AE130" s="324">
        <f t="shared" ca="1" si="34"/>
        <v>57.450287001632518</v>
      </c>
      <c r="AG130" s="306">
        <f t="shared" ca="1" si="56"/>
        <v>70.941100525670919</v>
      </c>
      <c r="AH130" s="304">
        <f t="shared" ca="1" si="57"/>
        <v>80.698774785132088</v>
      </c>
    </row>
    <row r="131" spans="1:34" x14ac:dyDescent="0.25">
      <c r="A131" s="347">
        <f t="shared" ca="1" si="35"/>
        <v>0.01</v>
      </c>
      <c r="B131" s="304">
        <f t="shared" ca="1" si="36"/>
        <v>1.2700000000000009</v>
      </c>
      <c r="D131" s="306">
        <f t="shared" ca="1" si="37"/>
        <v>8.3261695829860329</v>
      </c>
      <c r="E131" s="307">
        <f t="shared" ca="1" si="38"/>
        <v>70.394414970790919</v>
      </c>
      <c r="F131" s="304">
        <f t="shared" ca="1" si="39"/>
        <v>70.885109571789158</v>
      </c>
      <c r="G131" s="306">
        <f t="shared" ca="1" si="40"/>
        <v>9.5693046111961202</v>
      </c>
      <c r="H131" s="307">
        <f t="shared" ca="1" si="41"/>
        <v>92.081199300678804</v>
      </c>
      <c r="I131" s="304">
        <f t="shared" ca="1" si="42"/>
        <v>92.577096818776894</v>
      </c>
      <c r="J131" s="306">
        <f t="shared" ca="1" si="43"/>
        <v>5.7130081826364894</v>
      </c>
      <c r="K131" s="307">
        <f t="shared" ca="1" si="44"/>
        <v>58.367579273890769</v>
      </c>
      <c r="L131" s="304">
        <f t="shared" ca="1" si="29"/>
        <v>58.646506910376125</v>
      </c>
      <c r="M131" s="306">
        <f t="shared" ca="1" si="45"/>
        <v>1.4672455792141155</v>
      </c>
      <c r="N131" s="304">
        <f t="shared" ca="1" si="46"/>
        <v>84.066979198196719</v>
      </c>
      <c r="P131" s="310">
        <f t="shared" ca="1" si="47"/>
        <v>6</v>
      </c>
      <c r="Q131" s="304">
        <f t="shared" ca="1" si="48"/>
        <v>999.15263157894731</v>
      </c>
      <c r="R131" s="306">
        <f t="shared" ca="1" si="49"/>
        <v>0.50050778670110929</v>
      </c>
      <c r="S131" s="307">
        <f t="shared" ca="1" si="50"/>
        <v>11.861159367314217</v>
      </c>
      <c r="T131" s="304">
        <f t="shared" ca="1" si="30"/>
        <v>116.35797339335248</v>
      </c>
      <c r="U131" s="311">
        <f t="shared" ca="1" si="31"/>
        <v>0</v>
      </c>
      <c r="V131" s="306">
        <f t="shared" ca="1" si="32"/>
        <v>1.2178707773124673</v>
      </c>
      <c r="W131" s="304">
        <f t="shared" ca="1" si="33"/>
        <v>43.380685439121052</v>
      </c>
      <c r="Y131" s="314" t="str">
        <f t="shared" ca="1" si="51"/>
        <v/>
      </c>
      <c r="Z131" s="315" t="str">
        <f t="shared" ca="1" si="52"/>
        <v/>
      </c>
      <c r="AA131" s="316" t="str">
        <f t="shared" ca="1" si="53"/>
        <v/>
      </c>
      <c r="AC131" s="310" t="e">
        <f t="shared" ca="1" si="54"/>
        <v>#N/A</v>
      </c>
      <c r="AD131" s="323" t="e">
        <f t="shared" ca="1" si="55"/>
        <v>#N/A</v>
      </c>
      <c r="AE131" s="324">
        <f t="shared" ca="1" si="34"/>
        <v>58.367579273890769</v>
      </c>
      <c r="AG131" s="306">
        <f t="shared" ca="1" si="56"/>
        <v>70.877871651074557</v>
      </c>
      <c r="AH131" s="304">
        <f t="shared" ca="1" si="57"/>
        <v>80.635434399099466</v>
      </c>
    </row>
    <row r="132" spans="1:34" x14ac:dyDescent="0.25">
      <c r="A132" s="347">
        <f t="shared" ca="1" si="35"/>
        <v>0.01</v>
      </c>
      <c r="B132" s="304">
        <f t="shared" ca="1" si="36"/>
        <v>1.2800000000000009</v>
      </c>
      <c r="D132" s="306">
        <f t="shared" ca="1" si="37"/>
        <v>8.3283527923951599</v>
      </c>
      <c r="E132" s="307">
        <f t="shared" ca="1" si="38"/>
        <v>70.330067066696401</v>
      </c>
      <c r="F132" s="304">
        <f t="shared" ca="1" si="39"/>
        <v>70.821464217005641</v>
      </c>
      <c r="G132" s="306">
        <f t="shared" ca="1" si="40"/>
        <v>9.6525881391200716</v>
      </c>
      <c r="H132" s="307">
        <f t="shared" ca="1" si="41"/>
        <v>92.784499971345767</v>
      </c>
      <c r="I132" s="304">
        <f t="shared" ca="1" si="42"/>
        <v>93.285239415012185</v>
      </c>
      <c r="J132" s="306">
        <f t="shared" ca="1" si="43"/>
        <v>5.8091176463880707</v>
      </c>
      <c r="K132" s="307">
        <f t="shared" ca="1" si="44"/>
        <v>59.291907770250894</v>
      </c>
      <c r="L132" s="304">
        <f t="shared" ref="L132:L195" ca="1" si="58">SQRT(pos_x^2+pos_z^2)</f>
        <v>59.575801923813962</v>
      </c>
      <c r="M132" s="306">
        <f t="shared" ca="1" si="45"/>
        <v>1.4671368783742293</v>
      </c>
      <c r="N132" s="304">
        <f t="shared" ca="1" si="46"/>
        <v>84.06075109884172</v>
      </c>
      <c r="P132" s="310">
        <f t="shared" ca="1" si="47"/>
        <v>6</v>
      </c>
      <c r="Q132" s="304">
        <f t="shared" ca="1" si="48"/>
        <v>998.65087719298242</v>
      </c>
      <c r="R132" s="306">
        <f t="shared" ca="1" si="49"/>
        <v>0.50025644174214146</v>
      </c>
      <c r="S132" s="307">
        <f t="shared" ca="1" si="50"/>
        <v>11.856156802896797</v>
      </c>
      <c r="T132" s="304">
        <f t="shared" ref="T132:T195" ca="1" si="59">m*g</f>
        <v>116.30889823641758</v>
      </c>
      <c r="U132" s="311">
        <f t="shared" ref="U132:U195" ca="1" si="60">IF(pos_xz&lt;L_rampe,Poids*COS(Beta),0)</f>
        <v>0</v>
      </c>
      <c r="V132" s="306">
        <f t="shared" ref="V132:V195" ca="1" si="61">Rho_moyen*(20000-Alt_rampe-pos_z)/(20000+Alt_rampe+pos_z)</f>
        <v>1.217758210274569</v>
      </c>
      <c r="W132" s="304">
        <f t="shared" ref="W132:W195" ca="1" si="62">1/2*Rho*Sref*Cx*vit_xz^2</f>
        <v>44.042809270040465</v>
      </c>
      <c r="Y132" s="314" t="str">
        <f t="shared" ca="1" si="51"/>
        <v/>
      </c>
      <c r="Z132" s="315" t="str">
        <f t="shared" ca="1" si="52"/>
        <v/>
      </c>
      <c r="AA132" s="316" t="str">
        <f t="shared" ca="1" si="53"/>
        <v/>
      </c>
      <c r="AC132" s="310" t="e">
        <f t="shared" ca="1" si="54"/>
        <v>#N/A</v>
      </c>
      <c r="AD132" s="323" t="e">
        <f t="shared" ca="1" si="55"/>
        <v>#N/A</v>
      </c>
      <c r="AE132" s="324">
        <f t="shared" ref="AE132:AE195" ca="1" si="63">IF(t&lt;T_para, pos_z, NA())</f>
        <v>59.291907770250894</v>
      </c>
      <c r="AG132" s="306">
        <f t="shared" ca="1" si="56"/>
        <v>70.814204511205233</v>
      </c>
      <c r="AH132" s="304">
        <f t="shared" ca="1" si="57"/>
        <v>80.571656366796844</v>
      </c>
    </row>
    <row r="133" spans="1:34" x14ac:dyDescent="0.25">
      <c r="A133" s="347">
        <f t="shared" ref="A133:A196" ca="1" si="64">IF(B132+0.01&lt;=T_ini+ROUNDUP(Temps_fin_propu,0), 0.01, IF(K132&gt;0, 0.1, 0.0001))</f>
        <v>0.01</v>
      </c>
      <c r="B133" s="304">
        <f t="shared" ref="B133:B196" ca="1" si="65">B132+pas</f>
        <v>1.2900000000000009</v>
      </c>
      <c r="D133" s="306">
        <f t="shared" ref="D133:D196" ca="1" si="66">IF(AND(L132&lt;L_rampe,Poussee&lt;Poids*SIN(M132)),0,(-W132+Poussee)/m*COS(M132)-U132/m*SIN(M132))</f>
        <v>8.3271091451375145</v>
      </c>
      <c r="E133" s="307">
        <f t="shared" ref="E133:E196" ca="1" si="67">IF(AND(L132&lt;L_rampe,Poussee&lt;Poids*SIN(M132)),0,(-W132+Poussee)/m*SIN(M132)+U132/m*COS(M132)-Poids/m)</f>
        <v>70.233470943000185</v>
      </c>
      <c r="F133" s="304">
        <f t="shared" ref="F133:F196" ca="1" si="68">SQRT(acc_x^2+acc_z^2)</f>
        <v>70.725392804962794</v>
      </c>
      <c r="G133" s="306">
        <f t="shared" ref="G133:G196" ca="1" si="69">G132+acc_x*pas</f>
        <v>9.735859230571446</v>
      </c>
      <c r="H133" s="307">
        <f t="shared" ref="H133:H196" ca="1" si="70">H132+acc_z*pas</f>
        <v>93.486834680775772</v>
      </c>
      <c r="I133" s="304">
        <f t="shared" ref="I133:I196" ca="1" si="71">SQRT(vit_x^2+vit_z^2)</f>
        <v>93.992421043338382</v>
      </c>
      <c r="J133" s="306">
        <f t="shared" ref="J133:J196" ca="1" si="72">J132+0.5*(vit_x+G132)*pas*(K132&gt;=0)</f>
        <v>5.9060598832365283</v>
      </c>
      <c r="K133" s="307">
        <f t="shared" ref="K133:K196" ca="1" si="73">K132+0.5*(vit_z+H132)*pas</f>
        <v>60.223264443511503</v>
      </c>
      <c r="L133" s="304">
        <f t="shared" ca="1" si="58"/>
        <v>60.512173350306078</v>
      </c>
      <c r="M133" s="306">
        <f t="shared" ref="M133:M196" ca="1" si="74">IF(AND(L132&gt;L_rampe,G133&gt;0),ATAN2(G133,H133),$M$4)</f>
        <v>1.4670288825365578</v>
      </c>
      <c r="N133" s="304">
        <f t="shared" ref="N133:N196" ca="1" si="75">DEGREES(Beta)</f>
        <v>84.054563393138167</v>
      </c>
      <c r="P133" s="310">
        <f t="shared" ref="P133:P196" ca="1" si="76">MATCH(t-pas/2-T_ini,CdP_t)</f>
        <v>7</v>
      </c>
      <c r="Q133" s="304">
        <f t="shared" ref="Q133:Q196" ca="1" si="77">(INDEX(CdP,2,i_P+1)-INDEX(CdP,2,i_P+0))/(INDEX(CdP,1,i_P+1)-INDEX(CdP,1,i_P+0))*(t-pas/2-T_ini-INDEX(CdP,1,i_P+0))+INDEX(CdP,2,i_P+0)</f>
        <v>997.77012987012972</v>
      </c>
      <c r="R133" s="306">
        <f t="shared" ref="R133:R196" ca="1" si="78">Poussee/(g*ISP)</f>
        <v>0.49981524699444074</v>
      </c>
      <c r="S133" s="307">
        <f t="shared" ref="S133:S196" ca="1" si="79">S132-Débit*pas</f>
        <v>11.851158650426852</v>
      </c>
      <c r="T133" s="304">
        <f t="shared" ca="1" si="59"/>
        <v>116.25986636068743</v>
      </c>
      <c r="U133" s="311">
        <f t="shared" ca="1" si="60"/>
        <v>0</v>
      </c>
      <c r="V133" s="306">
        <f t="shared" ca="1" si="61"/>
        <v>1.2176447978199663</v>
      </c>
      <c r="W133" s="304">
        <f t="shared" ca="1" si="62"/>
        <v>44.708940222473721</v>
      </c>
      <c r="Y133" s="314" t="str">
        <f t="shared" ref="Y133:Y196" ca="1" si="80">IF(AND(pos_z&lt;=0,K132&gt;0),"Impact balistique","") &amp; IF(AND(H134&lt;0,vit_z&gt;=0),"Apogée","") &amp; IF(AND(Poussee=0,Q132&gt;0),"Fin de propulsion","") &amp; IF(AND(L134&gt;L_rampe,pos_xz&lt;=L_rampe),"Sortie de rampe","")</f>
        <v/>
      </c>
      <c r="Z133" s="315" t="str">
        <f t="shared" ref="Z133:Z196" ca="1" si="81">IF(ABS(t-T_para)&lt;pas/2,"Para","")</f>
        <v/>
      </c>
      <c r="AA133" s="316" t="str">
        <f t="shared" ref="AA133:AA196" ca="1" si="82">IF(ABS(t-T_satellite)&lt;pas/2,"Satellite","")</f>
        <v/>
      </c>
      <c r="AC133" s="310" t="e">
        <f t="shared" ref="AC133:AC196" ca="1" si="83">IF(ABS(t-ROUND(t,0))&lt;0.001,t,NA())</f>
        <v>#N/A</v>
      </c>
      <c r="AD133" s="323" t="e">
        <f t="shared" ref="AD133:AD196" ca="1" si="84">IF(ABS(t-ROUND(t,0))&lt;0.001,pos_x,NA())</f>
        <v>#N/A</v>
      </c>
      <c r="AE133" s="324">
        <f t="shared" ca="1" si="63"/>
        <v>60.223264443511503</v>
      </c>
      <c r="AG133" s="306">
        <f t="shared" ref="AG133:AG196" ca="1" si="85">IF(AND(L132&lt;L_rampe,Poussee&lt;Poids*SIN(M132)),0,(-W132+Poussee)/m-Poids*SIN(M132)/m)</f>
        <v>70.718108020465593</v>
      </c>
      <c r="AH133" s="304">
        <f t="shared" ref="AH133:AH196" ca="1" si="86">IF(AND(L132&lt;L_rampe,Poussee&lt;Poids*SIN(M132)), g*SIN(M132), (-W132+Poussee)/m)</f>
        <v>80.475449593760871</v>
      </c>
    </row>
    <row r="134" spans="1:34" x14ac:dyDescent="0.25">
      <c r="A134" s="347">
        <f t="shared" ca="1" si="64"/>
        <v>0.01</v>
      </c>
      <c r="B134" s="304">
        <f t="shared" ca="1" si="65"/>
        <v>1.3000000000000009</v>
      </c>
      <c r="D134" s="306">
        <f t="shared" ca="1" si="66"/>
        <v>8.3224264872350044</v>
      </c>
      <c r="E134" s="307">
        <f t="shared" ca="1" si="67"/>
        <v>70.104601344269994</v>
      </c>
      <c r="F134" s="304">
        <f t="shared" ca="1" si="68"/>
        <v>70.596868997671947</v>
      </c>
      <c r="G134" s="306">
        <f t="shared" ca="1" si="69"/>
        <v>9.8190834954437953</v>
      </c>
      <c r="H134" s="307">
        <f t="shared" ca="1" si="70"/>
        <v>94.187880694218478</v>
      </c>
      <c r="I134" s="304">
        <f t="shared" ca="1" si="71"/>
        <v>94.698317146393009</v>
      </c>
      <c r="J134" s="306">
        <f t="shared" ca="1" si="72"/>
        <v>6.0038345968666045</v>
      </c>
      <c r="K134" s="307">
        <f t="shared" ca="1" si="73"/>
        <v>61.161638020386476</v>
      </c>
      <c r="L134" s="304">
        <f t="shared" ca="1" si="58"/>
        <v>61.455609957133426</v>
      </c>
      <c r="M134" s="306">
        <f t="shared" ca="1" si="74"/>
        <v>1.4669215804427629</v>
      </c>
      <c r="N134" s="304">
        <f t="shared" ca="1" si="75"/>
        <v>84.048415436030794</v>
      </c>
      <c r="P134" s="310">
        <f t="shared" ca="1" si="76"/>
        <v>7</v>
      </c>
      <c r="Q134" s="304">
        <f t="shared" ca="1" si="77"/>
        <v>996.51038961038944</v>
      </c>
      <c r="R134" s="306">
        <f t="shared" ca="1" si="78"/>
        <v>0.49918420245800738</v>
      </c>
      <c r="S134" s="307">
        <f t="shared" ca="1" si="79"/>
        <v>11.846166808402272</v>
      </c>
      <c r="T134" s="304">
        <f t="shared" ca="1" si="59"/>
        <v>116.21089639042629</v>
      </c>
      <c r="U134" s="311">
        <f t="shared" ca="1" si="60"/>
        <v>0</v>
      </c>
      <c r="V134" s="306">
        <f t="shared" ca="1" si="61"/>
        <v>1.2175305415581743</v>
      </c>
      <c r="W134" s="304">
        <f t="shared" ca="1" si="62"/>
        <v>45.378744113182456</v>
      </c>
      <c r="Y134" s="314" t="str">
        <f t="shared" ca="1" si="80"/>
        <v/>
      </c>
      <c r="Z134" s="315" t="str">
        <f t="shared" ca="1" si="81"/>
        <v/>
      </c>
      <c r="AA134" s="316" t="str">
        <f t="shared" ca="1" si="82"/>
        <v/>
      </c>
      <c r="AC134" s="310" t="e">
        <f t="shared" ca="1" si="83"/>
        <v>#N/A</v>
      </c>
      <c r="AD134" s="323" t="e">
        <f t="shared" ca="1" si="84"/>
        <v>#N/A</v>
      </c>
      <c r="AE134" s="324">
        <f t="shared" ca="1" si="63"/>
        <v>61.161638020386476</v>
      </c>
      <c r="AG134" s="306">
        <f t="shared" ca="1" si="85"/>
        <v>70.589555788872815</v>
      </c>
      <c r="AH134" s="304">
        <f t="shared" ca="1" si="86"/>
        <v>80.346787680958542</v>
      </c>
    </row>
    <row r="135" spans="1:34" x14ac:dyDescent="0.25">
      <c r="A135" s="347">
        <f t="shared" ca="1" si="64"/>
        <v>0.01</v>
      </c>
      <c r="B135" s="304">
        <f t="shared" ca="1" si="65"/>
        <v>1.3100000000000009</v>
      </c>
      <c r="D135" s="306">
        <f t="shared" ca="1" si="66"/>
        <v>8.3176128980099424</v>
      </c>
      <c r="E135" s="307">
        <f t="shared" ca="1" si="67"/>
        <v>69.97528053682106</v>
      </c>
      <c r="F135" s="304">
        <f t="shared" ca="1" si="68"/>
        <v>70.467883255621842</v>
      </c>
      <c r="G135" s="306">
        <f t="shared" ca="1" si="69"/>
        <v>9.9022596244238947</v>
      </c>
      <c r="H135" s="307">
        <f t="shared" ca="1" si="70"/>
        <v>94.887633499586684</v>
      </c>
      <c r="I135" s="304">
        <f t="shared" ca="1" si="71"/>
        <v>95.402923104176324</v>
      </c>
      <c r="J135" s="306">
        <f t="shared" ca="1" si="72"/>
        <v>6.1024413124659427</v>
      </c>
      <c r="K135" s="307">
        <f t="shared" ca="1" si="73"/>
        <v>62.107015591355506</v>
      </c>
      <c r="L135" s="304">
        <f t="shared" ca="1" si="58"/>
        <v>62.40609886571157</v>
      </c>
      <c r="M135" s="306">
        <f t="shared" ca="1" si="74"/>
        <v>1.4668149610957548</v>
      </c>
      <c r="N135" s="304">
        <f t="shared" ca="1" si="75"/>
        <v>84.042306597432798</v>
      </c>
      <c r="P135" s="310">
        <f t="shared" ca="1" si="76"/>
        <v>7</v>
      </c>
      <c r="Q135" s="304">
        <f t="shared" ca="1" si="77"/>
        <v>995.25064935064916</v>
      </c>
      <c r="R135" s="306">
        <f t="shared" ca="1" si="78"/>
        <v>0.49855315792157406</v>
      </c>
      <c r="S135" s="307">
        <f t="shared" ca="1" si="79"/>
        <v>11.841181276823056</v>
      </c>
      <c r="T135" s="304">
        <f t="shared" ca="1" si="59"/>
        <v>116.16198832563418</v>
      </c>
      <c r="U135" s="311">
        <f t="shared" ca="1" si="60"/>
        <v>0</v>
      </c>
      <c r="V135" s="306">
        <f t="shared" ca="1" si="61"/>
        <v>1.2174154432991229</v>
      </c>
      <c r="W135" s="304">
        <f t="shared" ca="1" si="62"/>
        <v>46.05218652238964</v>
      </c>
      <c r="Y135" s="314" t="str">
        <f t="shared" ca="1" si="80"/>
        <v/>
      </c>
      <c r="Z135" s="315" t="str">
        <f t="shared" ca="1" si="81"/>
        <v/>
      </c>
      <c r="AA135" s="316" t="str">
        <f t="shared" ca="1" si="82"/>
        <v/>
      </c>
      <c r="AC135" s="310" t="e">
        <f t="shared" ca="1" si="83"/>
        <v>#N/A</v>
      </c>
      <c r="AD135" s="323" t="e">
        <f t="shared" ca="1" si="84"/>
        <v>#N/A</v>
      </c>
      <c r="AE135" s="324">
        <f t="shared" ca="1" si="63"/>
        <v>62.107015591355506</v>
      </c>
      <c r="AG135" s="306">
        <f t="shared" ca="1" si="85"/>
        <v>70.46054155281324</v>
      </c>
      <c r="AH135" s="304">
        <f t="shared" ca="1" si="86"/>
        <v>80.217664355554376</v>
      </c>
    </row>
    <row r="136" spans="1:34" x14ac:dyDescent="0.25">
      <c r="A136" s="347">
        <f t="shared" ca="1" si="64"/>
        <v>0.01</v>
      </c>
      <c r="B136" s="304">
        <f t="shared" ca="1" si="65"/>
        <v>1.320000000000001</v>
      </c>
      <c r="D136" s="306">
        <f t="shared" ca="1" si="66"/>
        <v>8.3126696379718972</v>
      </c>
      <c r="E136" s="307">
        <f t="shared" ca="1" si="67"/>
        <v>69.845510956864985</v>
      </c>
      <c r="F136" s="304">
        <f t="shared" ca="1" si="68"/>
        <v>70.338438121240699</v>
      </c>
      <c r="G136" s="306">
        <f t="shared" ca="1" si="69"/>
        <v>9.9853863208036131</v>
      </c>
      <c r="H136" s="307">
        <f t="shared" ca="1" si="70"/>
        <v>95.58608860915534</v>
      </c>
      <c r="I136" s="304">
        <f t="shared" ca="1" si="71"/>
        <v>96.106234322092689</v>
      </c>
      <c r="J136" s="306">
        <f t="shared" ca="1" si="72"/>
        <v>6.2018795421920805</v>
      </c>
      <c r="K136" s="307">
        <f t="shared" ca="1" si="73"/>
        <v>63.059384201899213</v>
      </c>
      <c r="L136" s="304">
        <f t="shared" ca="1" si="58"/>
        <v>63.363627151376022</v>
      </c>
      <c r="M136" s="306">
        <f t="shared" ca="1" si="74"/>
        <v>1.4667090137515642</v>
      </c>
      <c r="N136" s="304">
        <f t="shared" ca="1" si="75"/>
        <v>84.036236261760052</v>
      </c>
      <c r="P136" s="310">
        <f t="shared" ca="1" si="76"/>
        <v>7</v>
      </c>
      <c r="Q136" s="304">
        <f t="shared" ca="1" si="77"/>
        <v>993.99090909090899</v>
      </c>
      <c r="R136" s="306">
        <f t="shared" ca="1" si="78"/>
        <v>0.49792211338514075</v>
      </c>
      <c r="S136" s="307">
        <f t="shared" ca="1" si="79"/>
        <v>11.836202055689204</v>
      </c>
      <c r="T136" s="304">
        <f t="shared" ca="1" si="59"/>
        <v>116.11314216631111</v>
      </c>
      <c r="U136" s="311">
        <f t="shared" ca="1" si="60"/>
        <v>0</v>
      </c>
      <c r="V136" s="306">
        <f t="shared" ca="1" si="61"/>
        <v>1.2172995048593482</v>
      </c>
      <c r="W136" s="304">
        <f t="shared" ca="1" si="62"/>
        <v>46.729232974251019</v>
      </c>
      <c r="Y136" s="314" t="str">
        <f t="shared" ca="1" si="80"/>
        <v/>
      </c>
      <c r="Z136" s="315" t="str">
        <f t="shared" ca="1" si="81"/>
        <v/>
      </c>
      <c r="AA136" s="316" t="str">
        <f t="shared" ca="1" si="82"/>
        <v/>
      </c>
      <c r="AC136" s="310" t="e">
        <f t="shared" ca="1" si="83"/>
        <v>#N/A</v>
      </c>
      <c r="AD136" s="323" t="e">
        <f t="shared" ca="1" si="84"/>
        <v>#N/A</v>
      </c>
      <c r="AE136" s="324">
        <f t="shared" ca="1" si="63"/>
        <v>63.059384201899213</v>
      </c>
      <c r="AG136" s="306">
        <f t="shared" ca="1" si="85"/>
        <v>70.331067852782695</v>
      </c>
      <c r="AH136" s="304">
        <f t="shared" ca="1" si="86"/>
        <v>80.088082149027002</v>
      </c>
    </row>
    <row r="137" spans="1:34" x14ac:dyDescent="0.25">
      <c r="A137" s="347">
        <f t="shared" ca="1" si="64"/>
        <v>0.01</v>
      </c>
      <c r="B137" s="304">
        <f t="shared" ca="1" si="65"/>
        <v>1.330000000000001</v>
      </c>
      <c r="D137" s="306">
        <f t="shared" ca="1" si="66"/>
        <v>8.3075979458217155</v>
      </c>
      <c r="E137" s="307">
        <f t="shared" ca="1" si="67"/>
        <v>69.715295052845178</v>
      </c>
      <c r="F137" s="304">
        <f t="shared" ca="1" si="68"/>
        <v>70.208536147214176</v>
      </c>
      <c r="G137" s="306">
        <f t="shared" ca="1" si="69"/>
        <v>10.06846230026183</v>
      </c>
      <c r="H137" s="307">
        <f t="shared" ca="1" si="70"/>
        <v>96.283241559683788</v>
      </c>
      <c r="I137" s="304">
        <f t="shared" ca="1" si="71"/>
        <v>96.808246231053133</v>
      </c>
      <c r="J137" s="306">
        <f t="shared" ca="1" si="72"/>
        <v>6.3021487852974074</v>
      </c>
      <c r="K137" s="307">
        <f t="shared" ca="1" si="73"/>
        <v>64.018730852743403</v>
      </c>
      <c r="L137" s="304">
        <f t="shared" ca="1" si="58"/>
        <v>64.328181843636969</v>
      </c>
      <c r="M137" s="306">
        <f t="shared" ca="1" si="74"/>
        <v>1.4666037279115294</v>
      </c>
      <c r="N137" s="304">
        <f t="shared" ca="1" si="75"/>
        <v>84.030203827483561</v>
      </c>
      <c r="P137" s="310">
        <f t="shared" ca="1" si="76"/>
        <v>7</v>
      </c>
      <c r="Q137" s="304">
        <f t="shared" ca="1" si="77"/>
        <v>992.7311688311687</v>
      </c>
      <c r="R137" s="306">
        <f t="shared" ca="1" si="78"/>
        <v>0.49729106884870744</v>
      </c>
      <c r="S137" s="307">
        <f t="shared" ca="1" si="79"/>
        <v>11.831229145000718</v>
      </c>
      <c r="T137" s="304">
        <f t="shared" ca="1" si="59"/>
        <v>116.06435791245704</v>
      </c>
      <c r="U137" s="311">
        <f t="shared" ca="1" si="60"/>
        <v>0</v>
      </c>
      <c r="V137" s="306">
        <f t="shared" ca="1" si="61"/>
        <v>1.2171827280619496</v>
      </c>
      <c r="W137" s="304">
        <f t="shared" ca="1" si="62"/>
        <v>47.40984893878327</v>
      </c>
      <c r="Y137" s="314" t="str">
        <f t="shared" ca="1" si="80"/>
        <v/>
      </c>
      <c r="Z137" s="315" t="str">
        <f t="shared" ca="1" si="81"/>
        <v/>
      </c>
      <c r="AA137" s="316" t="str">
        <f t="shared" ca="1" si="82"/>
        <v/>
      </c>
      <c r="AC137" s="310" t="e">
        <f t="shared" ca="1" si="83"/>
        <v>#N/A</v>
      </c>
      <c r="AD137" s="323" t="e">
        <f t="shared" ca="1" si="84"/>
        <v>#N/A</v>
      </c>
      <c r="AE137" s="324">
        <f t="shared" ca="1" si="63"/>
        <v>64.018730852743403</v>
      </c>
      <c r="AG137" s="306">
        <f t="shared" ca="1" si="85"/>
        <v>70.201137239550334</v>
      </c>
      <c r="AH137" s="304">
        <f t="shared" ca="1" si="86"/>
        <v>79.958043603326757</v>
      </c>
    </row>
    <row r="138" spans="1:34" x14ac:dyDescent="0.25">
      <c r="A138" s="347">
        <f t="shared" ca="1" si="64"/>
        <v>0.01</v>
      </c>
      <c r="B138" s="304">
        <f t="shared" ca="1" si="65"/>
        <v>1.340000000000001</v>
      </c>
      <c r="D138" s="306">
        <f t="shared" ca="1" si="66"/>
        <v>8.3023990391601359</v>
      </c>
      <c r="E138" s="307">
        <f t="shared" ca="1" si="67"/>
        <v>69.584635285226639</v>
      </c>
      <c r="F138" s="304">
        <f t="shared" ca="1" si="68"/>
        <v>70.078179896337602</v>
      </c>
      <c r="G138" s="306">
        <f t="shared" ca="1" si="69"/>
        <v>10.15148629065343</v>
      </c>
      <c r="H138" s="307">
        <f t="shared" ca="1" si="70"/>
        <v>96.979087912536059</v>
      </c>
      <c r="I138" s="304">
        <f t="shared" ca="1" si="71"/>
        <v>97.508954287576699</v>
      </c>
      <c r="J138" s="306">
        <f t="shared" ca="1" si="72"/>
        <v>6.403248528251984</v>
      </c>
      <c r="K138" s="307">
        <f t="shared" ca="1" si="73"/>
        <v>64.985042500104498</v>
      </c>
      <c r="L138" s="304">
        <f t="shared" ca="1" si="58"/>
        <v>65.299749926435013</v>
      </c>
      <c r="M138" s="306">
        <f t="shared" ca="1" si="74"/>
        <v>1.4664990933147852</v>
      </c>
      <c r="N138" s="304">
        <f t="shared" ca="1" si="75"/>
        <v>84.024208706699071</v>
      </c>
      <c r="P138" s="310">
        <f t="shared" ca="1" si="76"/>
        <v>7</v>
      </c>
      <c r="Q138" s="304">
        <f t="shared" ca="1" si="77"/>
        <v>991.47142857142842</v>
      </c>
      <c r="R138" s="306">
        <f t="shared" ca="1" si="78"/>
        <v>0.49666002431227407</v>
      </c>
      <c r="S138" s="307">
        <f t="shared" ca="1" si="79"/>
        <v>11.826262544757595</v>
      </c>
      <c r="T138" s="304">
        <f t="shared" ca="1" si="59"/>
        <v>116.01563556407201</v>
      </c>
      <c r="U138" s="311">
        <f t="shared" ca="1" si="60"/>
        <v>0</v>
      </c>
      <c r="V138" s="306">
        <f t="shared" ca="1" si="61"/>
        <v>1.217065114736541</v>
      </c>
      <c r="W138" s="304">
        <f t="shared" ca="1" si="62"/>
        <v>48.093999833791209</v>
      </c>
      <c r="Y138" s="314" t="str">
        <f t="shared" ca="1" si="80"/>
        <v/>
      </c>
      <c r="Z138" s="315" t="str">
        <f t="shared" ca="1" si="81"/>
        <v/>
      </c>
      <c r="AA138" s="316" t="str">
        <f t="shared" ca="1" si="82"/>
        <v/>
      </c>
      <c r="AC138" s="310" t="e">
        <f t="shared" ca="1" si="83"/>
        <v>#N/A</v>
      </c>
      <c r="AD138" s="323" t="e">
        <f t="shared" ca="1" si="84"/>
        <v>#N/A</v>
      </c>
      <c r="AE138" s="324">
        <f t="shared" ca="1" si="63"/>
        <v>64.985042500104498</v>
      </c>
      <c r="AG138" s="306">
        <f t="shared" ca="1" si="85"/>
        <v>70.070752274010005</v>
      </c>
      <c r="AH138" s="304">
        <f t="shared" ca="1" si="86"/>
        <v>79.827551270721074</v>
      </c>
    </row>
    <row r="139" spans="1:34" x14ac:dyDescent="0.25">
      <c r="A139" s="347">
        <f t="shared" ca="1" si="64"/>
        <v>0.01</v>
      </c>
      <c r="B139" s="304">
        <f t="shared" ca="1" si="65"/>
        <v>1.350000000000001</v>
      </c>
      <c r="D139" s="306">
        <f t="shared" ca="1" si="66"/>
        <v>8.2970741151684457</v>
      </c>
      <c r="E139" s="307">
        <f t="shared" ca="1" si="67"/>
        <v>69.453534126287565</v>
      </c>
      <c r="F139" s="304">
        <f t="shared" ca="1" si="68"/>
        <v>69.947371941367393</v>
      </c>
      <c r="G139" s="306">
        <f t="shared" ca="1" si="69"/>
        <v>10.234457031805114</v>
      </c>
      <c r="H139" s="307">
        <f t="shared" ca="1" si="70"/>
        <v>97.673623253798937</v>
      </c>
      <c r="I139" s="304">
        <f t="shared" ca="1" si="71"/>
        <v>98.208353973890212</v>
      </c>
      <c r="J139" s="306">
        <f t="shared" ca="1" si="72"/>
        <v>6.5051782448642763</v>
      </c>
      <c r="K139" s="307">
        <f t="shared" ca="1" si="73"/>
        <v>65.958306055936177</v>
      </c>
      <c r="L139" s="304">
        <f t="shared" ca="1" si="58"/>
        <v>66.278318338397838</v>
      </c>
      <c r="M139" s="306">
        <f t="shared" ca="1" si="74"/>
        <v>1.4663950999310376</v>
      </c>
      <c r="N139" s="304">
        <f t="shared" ca="1" si="75"/>
        <v>84.018250324713051</v>
      </c>
      <c r="P139" s="310">
        <f t="shared" ca="1" si="76"/>
        <v>7</v>
      </c>
      <c r="Q139" s="304">
        <f t="shared" ca="1" si="77"/>
        <v>990.21168831168814</v>
      </c>
      <c r="R139" s="306">
        <f t="shared" ca="1" si="78"/>
        <v>0.49602897977584076</v>
      </c>
      <c r="S139" s="307">
        <f t="shared" ca="1" si="79"/>
        <v>11.821302254959837</v>
      </c>
      <c r="T139" s="304">
        <f t="shared" ca="1" si="59"/>
        <v>115.96697512115601</v>
      </c>
      <c r="U139" s="311">
        <f t="shared" ca="1" si="60"/>
        <v>0</v>
      </c>
      <c r="V139" s="306">
        <f t="shared" ca="1" si="61"/>
        <v>1.2169466667192133</v>
      </c>
      <c r="W139" s="304">
        <f t="shared" ca="1" si="62"/>
        <v>48.781651026793909</v>
      </c>
      <c r="Y139" s="314" t="str">
        <f t="shared" ca="1" si="80"/>
        <v/>
      </c>
      <c r="Z139" s="315" t="str">
        <f t="shared" ca="1" si="81"/>
        <v/>
      </c>
      <c r="AA139" s="316" t="str">
        <f t="shared" ca="1" si="82"/>
        <v/>
      </c>
      <c r="AC139" s="310" t="e">
        <f t="shared" ca="1" si="83"/>
        <v>#N/A</v>
      </c>
      <c r="AD139" s="323" t="e">
        <f t="shared" ca="1" si="84"/>
        <v>#N/A</v>
      </c>
      <c r="AE139" s="324">
        <f t="shared" ca="1" si="63"/>
        <v>65.958306055936177</v>
      </c>
      <c r="AG139" s="306">
        <f t="shared" ca="1" si="85"/>
        <v>69.939915527030905</v>
      </c>
      <c r="AH139" s="304">
        <f t="shared" ca="1" si="86"/>
        <v>79.696607713639551</v>
      </c>
    </row>
    <row r="140" spans="1:34" x14ac:dyDescent="0.25">
      <c r="A140" s="347">
        <f t="shared" ca="1" si="64"/>
        <v>0.01</v>
      </c>
      <c r="B140" s="304">
        <f t="shared" ca="1" si="65"/>
        <v>1.360000000000001</v>
      </c>
      <c r="D140" s="306">
        <f t="shared" ca="1" si="66"/>
        <v>8.2916243512624419</v>
      </c>
      <c r="E140" s="307">
        <f t="shared" ca="1" si="67"/>
        <v>69.321994059912655</v>
      </c>
      <c r="F140" s="304">
        <f t="shared" ca="1" si="68"/>
        <v>69.816114864872091</v>
      </c>
      <c r="G140" s="306">
        <f t="shared" ca="1" si="69"/>
        <v>10.317373275317738</v>
      </c>
      <c r="H140" s="307">
        <f t="shared" ca="1" si="70"/>
        <v>98.366843194398058</v>
      </c>
      <c r="I140" s="304">
        <f t="shared" ca="1" si="71"/>
        <v>98.90644079802658</v>
      </c>
      <c r="J140" s="306">
        <f t="shared" ca="1" si="72"/>
        <v>6.6079373963998904</v>
      </c>
      <c r="K140" s="307">
        <f t="shared" ca="1" si="73"/>
        <v>66.938508388177155</v>
      </c>
      <c r="L140" s="304">
        <f t="shared" ca="1" si="58"/>
        <v>67.263873973097944</v>
      </c>
      <c r="M140" s="306">
        <f t="shared" ca="1" si="74"/>
        <v>1.4662917379536127</v>
      </c>
      <c r="N140" s="304">
        <f t="shared" ca="1" si="75"/>
        <v>84.012328119644479</v>
      </c>
      <c r="P140" s="310">
        <f t="shared" ca="1" si="76"/>
        <v>7</v>
      </c>
      <c r="Q140" s="304">
        <f t="shared" ca="1" si="77"/>
        <v>988.95194805194785</v>
      </c>
      <c r="R140" s="306">
        <f t="shared" ca="1" si="78"/>
        <v>0.49539793523940739</v>
      </c>
      <c r="S140" s="307">
        <f t="shared" ca="1" si="79"/>
        <v>11.816348275607444</v>
      </c>
      <c r="T140" s="304">
        <f t="shared" ca="1" si="59"/>
        <v>115.91837658370903</v>
      </c>
      <c r="U140" s="311">
        <f t="shared" ca="1" si="60"/>
        <v>0</v>
      </c>
      <c r="V140" s="306">
        <f t="shared" ca="1" si="61"/>
        <v>1.2168273858524816</v>
      </c>
      <c r="W140" s="304">
        <f t="shared" ca="1" si="62"/>
        <v>49.472767836948897</v>
      </c>
      <c r="Y140" s="314" t="str">
        <f t="shared" ca="1" si="80"/>
        <v/>
      </c>
      <c r="Z140" s="315" t="str">
        <f t="shared" ca="1" si="81"/>
        <v/>
      </c>
      <c r="AA140" s="316" t="str">
        <f t="shared" ca="1" si="82"/>
        <v/>
      </c>
      <c r="AC140" s="310" t="e">
        <f t="shared" ca="1" si="83"/>
        <v>#N/A</v>
      </c>
      <c r="AD140" s="323" t="e">
        <f t="shared" ca="1" si="84"/>
        <v>#N/A</v>
      </c>
      <c r="AE140" s="324">
        <f t="shared" ca="1" si="63"/>
        <v>66.938508388177155</v>
      </c>
      <c r="AG140" s="306">
        <f t="shared" ca="1" si="85"/>
        <v>69.808629579307976</v>
      </c>
      <c r="AH140" s="304">
        <f t="shared" ca="1" si="86"/>
        <v>79.565215504518676</v>
      </c>
    </row>
    <row r="141" spans="1:34" x14ac:dyDescent="0.25">
      <c r="A141" s="347">
        <f t="shared" ca="1" si="64"/>
        <v>0.01</v>
      </c>
      <c r="B141" s="304">
        <f t="shared" ca="1" si="65"/>
        <v>1.370000000000001</v>
      </c>
      <c r="D141" s="306">
        <f t="shared" ca="1" si="66"/>
        <v>8.2860509057208436</v>
      </c>
      <c r="E141" s="307">
        <f t="shared" ca="1" si="67"/>
        <v>69.190017581387835</v>
      </c>
      <c r="F141" s="304">
        <f t="shared" ca="1" si="68"/>
        <v>69.68441125908258</v>
      </c>
      <c r="G141" s="306">
        <f t="shared" ca="1" si="69"/>
        <v>10.400233784374947</v>
      </c>
      <c r="H141" s="307">
        <f t="shared" ca="1" si="70"/>
        <v>99.058743370211943</v>
      </c>
      <c r="I141" s="304">
        <f t="shared" ca="1" si="71"/>
        <v>99.603210293921563</v>
      </c>
      <c r="J141" s="306">
        <f t="shared" ca="1" si="72"/>
        <v>6.7115254316983535</v>
      </c>
      <c r="K141" s="307">
        <f t="shared" ca="1" si="73"/>
        <v>67.925636321000212</v>
      </c>
      <c r="L141" s="304">
        <f t="shared" ca="1" si="58"/>
        <v>68.256403679311418</v>
      </c>
      <c r="M141" s="306">
        <f t="shared" ca="1" si="74"/>
        <v>1.466188997792768</v>
      </c>
      <c r="N141" s="304">
        <f t="shared" ca="1" si="75"/>
        <v>84.006441542041586</v>
      </c>
      <c r="P141" s="310">
        <f t="shared" ca="1" si="76"/>
        <v>7</v>
      </c>
      <c r="Q141" s="304">
        <f t="shared" ca="1" si="77"/>
        <v>987.69220779220768</v>
      </c>
      <c r="R141" s="306">
        <f t="shared" ca="1" si="78"/>
        <v>0.49476689070297414</v>
      </c>
      <c r="S141" s="307">
        <f t="shared" ca="1" si="79"/>
        <v>11.811400606700415</v>
      </c>
      <c r="T141" s="304">
        <f t="shared" ca="1" si="59"/>
        <v>115.86983995173108</v>
      </c>
      <c r="U141" s="311">
        <f t="shared" ca="1" si="60"/>
        <v>0</v>
      </c>
      <c r="V141" s="306">
        <f t="shared" ca="1" si="61"/>
        <v>1.2167072739852469</v>
      </c>
      <c r="W141" s="304">
        <f t="shared" ca="1" si="62"/>
        <v>50.167315536975103</v>
      </c>
      <c r="Y141" s="314" t="str">
        <f t="shared" ca="1" si="80"/>
        <v/>
      </c>
      <c r="Z141" s="315" t="str">
        <f t="shared" ca="1" si="81"/>
        <v/>
      </c>
      <c r="AA141" s="316" t="str">
        <f t="shared" ca="1" si="82"/>
        <v/>
      </c>
      <c r="AC141" s="310" t="e">
        <f t="shared" ca="1" si="83"/>
        <v>#N/A</v>
      </c>
      <c r="AD141" s="323" t="e">
        <f t="shared" ca="1" si="84"/>
        <v>#N/A</v>
      </c>
      <c r="AE141" s="324">
        <f t="shared" ca="1" si="63"/>
        <v>67.925636321000212</v>
      </c>
      <c r="AG141" s="306">
        <f t="shared" ca="1" si="85"/>
        <v>69.676897021211289</v>
      </c>
      <c r="AH141" s="304">
        <f t="shared" ca="1" si="86"/>
        <v>79.433377225646055</v>
      </c>
    </row>
    <row r="142" spans="1:34" x14ac:dyDescent="0.25">
      <c r="A142" s="347">
        <f t="shared" ca="1" si="64"/>
        <v>0.01</v>
      </c>
      <c r="B142" s="304">
        <f t="shared" ca="1" si="65"/>
        <v>1.380000000000001</v>
      </c>
      <c r="D142" s="306">
        <f t="shared" ca="1" si="66"/>
        <v>8.2803549182893637</v>
      </c>
      <c r="E142" s="307">
        <f t="shared" ca="1" si="67"/>
        <v>69.057607197196802</v>
      </c>
      <c r="F142" s="304">
        <f t="shared" ca="1" si="68"/>
        <v>69.552263725742009</v>
      </c>
      <c r="G142" s="306">
        <f t="shared" ca="1" si="69"/>
        <v>10.48303733355784</v>
      </c>
      <c r="H142" s="307">
        <f t="shared" ca="1" si="70"/>
        <v>99.749319442183918</v>
      </c>
      <c r="I142" s="304">
        <f t="shared" ca="1" si="71"/>
        <v>100.29865802150904</v>
      </c>
      <c r="J142" s="306">
        <f t="shared" ca="1" si="72"/>
        <v>6.8159417872880175</v>
      </c>
      <c r="K142" s="307">
        <f t="shared" ca="1" si="73"/>
        <v>68.919676635062189</v>
      </c>
      <c r="L142" s="304">
        <f t="shared" ca="1" si="58"/>
        <v>69.255894261277405</v>
      </c>
      <c r="M142" s="306">
        <f t="shared" ca="1" si="74"/>
        <v>1.4660868700692515</v>
      </c>
      <c r="N142" s="304">
        <f t="shared" ca="1" si="75"/>
        <v>84.000590054512813</v>
      </c>
      <c r="P142" s="310">
        <f t="shared" ca="1" si="76"/>
        <v>7</v>
      </c>
      <c r="Q142" s="304">
        <f t="shared" ca="1" si="77"/>
        <v>986.4324675324674</v>
      </c>
      <c r="R142" s="306">
        <f t="shared" ca="1" si="78"/>
        <v>0.49413584616654077</v>
      </c>
      <c r="S142" s="307">
        <f t="shared" ca="1" si="79"/>
        <v>11.806459248238749</v>
      </c>
      <c r="T142" s="304">
        <f t="shared" ca="1" si="59"/>
        <v>115.82136522522214</v>
      </c>
      <c r="U142" s="311">
        <f t="shared" ca="1" si="60"/>
        <v>0</v>
      </c>
      <c r="V142" s="306">
        <f t="shared" ca="1" si="61"/>
        <v>1.2165863329727467</v>
      </c>
      <c r="W142" s="304">
        <f t="shared" ca="1" si="62"/>
        <v>50.865259355073654</v>
      </c>
      <c r="Y142" s="314" t="str">
        <f t="shared" ca="1" si="80"/>
        <v/>
      </c>
      <c r="Z142" s="315" t="str">
        <f t="shared" ca="1" si="81"/>
        <v/>
      </c>
      <c r="AA142" s="316" t="str">
        <f t="shared" ca="1" si="82"/>
        <v/>
      </c>
      <c r="AC142" s="310" t="e">
        <f t="shared" ca="1" si="83"/>
        <v>#N/A</v>
      </c>
      <c r="AD142" s="323" t="e">
        <f t="shared" ca="1" si="84"/>
        <v>#N/A</v>
      </c>
      <c r="AE142" s="324">
        <f t="shared" ca="1" si="63"/>
        <v>68.919676635062189</v>
      </c>
      <c r="AG142" s="306">
        <f t="shared" ca="1" si="85"/>
        <v>69.54472045263536</v>
      </c>
      <c r="AH142" s="304">
        <f t="shared" ca="1" si="86"/>
        <v>79.301095469004508</v>
      </c>
    </row>
    <row r="143" spans="1:34" x14ac:dyDescent="0.25">
      <c r="A143" s="347">
        <f t="shared" ca="1" si="64"/>
        <v>0.01</v>
      </c>
      <c r="B143" s="304">
        <f t="shared" ca="1" si="65"/>
        <v>1.390000000000001</v>
      </c>
      <c r="D143" s="306">
        <f t="shared" ca="1" si="66"/>
        <v>8.2745375107616219</v>
      </c>
      <c r="E143" s="307">
        <f t="shared" ca="1" si="67"/>
        <v>68.924765424818716</v>
      </c>
      <c r="F143" s="304">
        <f t="shared" ca="1" si="68"/>
        <v>69.419674875954925</v>
      </c>
      <c r="G143" s="306">
        <f t="shared" ca="1" si="69"/>
        <v>10.565782708665457</v>
      </c>
      <c r="H143" s="307">
        <f t="shared" ca="1" si="70"/>
        <v>100.43856709643211</v>
      </c>
      <c r="I143" s="304">
        <f t="shared" ca="1" si="71"/>
        <v>100.99277956681472</v>
      </c>
      <c r="J143" s="306">
        <f t="shared" ca="1" si="72"/>
        <v>6.9211858874991341</v>
      </c>
      <c r="K143" s="307">
        <f t="shared" ca="1" si="73"/>
        <v>69.920616067755262</v>
      </c>
      <c r="L143" s="304">
        <f t="shared" ca="1" si="58"/>
        <v>70.262332478958825</v>
      </c>
      <c r="M143" s="306">
        <f t="shared" ca="1" si="74"/>
        <v>1.4659853456081018</v>
      </c>
      <c r="N143" s="304">
        <f t="shared" ca="1" si="75"/>
        <v>83.994773131371588</v>
      </c>
      <c r="P143" s="310">
        <f t="shared" ca="1" si="76"/>
        <v>7</v>
      </c>
      <c r="Q143" s="304">
        <f t="shared" ca="1" si="77"/>
        <v>985.17272727272712</v>
      </c>
      <c r="R143" s="306">
        <f t="shared" ca="1" si="78"/>
        <v>0.49350480163010746</v>
      </c>
      <c r="S143" s="307">
        <f t="shared" ca="1" si="79"/>
        <v>11.801524200222447</v>
      </c>
      <c r="T143" s="304">
        <f t="shared" ca="1" si="59"/>
        <v>115.77295240418221</v>
      </c>
      <c r="U143" s="311">
        <f t="shared" ca="1" si="60"/>
        <v>0</v>
      </c>
      <c r="V143" s="306">
        <f t="shared" ca="1" si="61"/>
        <v>1.2164645646765111</v>
      </c>
      <c r="W143" s="304">
        <f t="shared" ca="1" si="62"/>
        <v>51.56656447684675</v>
      </c>
      <c r="Y143" s="314" t="str">
        <f t="shared" ca="1" si="80"/>
        <v/>
      </c>
      <c r="Z143" s="315" t="str">
        <f t="shared" ca="1" si="81"/>
        <v/>
      </c>
      <c r="AA143" s="316" t="str">
        <f t="shared" ca="1" si="82"/>
        <v/>
      </c>
      <c r="AC143" s="310" t="e">
        <f t="shared" ca="1" si="83"/>
        <v>#N/A</v>
      </c>
      <c r="AD143" s="323" t="e">
        <f t="shared" ca="1" si="84"/>
        <v>#N/A</v>
      </c>
      <c r="AE143" s="324">
        <f t="shared" ca="1" si="63"/>
        <v>69.920616067755262</v>
      </c>
      <c r="AG143" s="306">
        <f t="shared" ca="1" si="85"/>
        <v>69.412102482847644</v>
      </c>
      <c r="AH143" s="304">
        <f t="shared" ca="1" si="86"/>
        <v>79.168372836115751</v>
      </c>
    </row>
    <row r="144" spans="1:34" x14ac:dyDescent="0.25">
      <c r="A144" s="347">
        <f t="shared" ca="1" si="64"/>
        <v>0.01</v>
      </c>
      <c r="B144" s="304">
        <f t="shared" ca="1" si="65"/>
        <v>1.400000000000001</v>
      </c>
      <c r="D144" s="306">
        <f t="shared" ca="1" si="66"/>
        <v>8.2685997875376547</v>
      </c>
      <c r="E144" s="307">
        <f t="shared" ca="1" si="67"/>
        <v>68.791494792527544</v>
      </c>
      <c r="F144" s="304">
        <f t="shared" ca="1" si="68"/>
        <v>69.286647330036203</v>
      </c>
      <c r="G144" s="306">
        <f t="shared" ca="1" si="69"/>
        <v>10.648468706540834</v>
      </c>
      <c r="H144" s="307">
        <f t="shared" ca="1" si="70"/>
        <v>101.12648204435739</v>
      </c>
      <c r="I144" s="304">
        <f t="shared" ca="1" si="71"/>
        <v>101.68557054204847</v>
      </c>
      <c r="J144" s="306">
        <f t="shared" ca="1" si="72"/>
        <v>7.0272571445751657</v>
      </c>
      <c r="K144" s="307">
        <f t="shared" ca="1" si="73"/>
        <v>70.928441313459203</v>
      </c>
      <c r="L144" s="304">
        <f t="shared" ca="1" si="58"/>
        <v>71.275705048303863</v>
      </c>
      <c r="M144" s="306">
        <f t="shared" ca="1" si="74"/>
        <v>1.4658844154326727</v>
      </c>
      <c r="N144" s="304">
        <f t="shared" ca="1" si="75"/>
        <v>83.988990258293981</v>
      </c>
      <c r="P144" s="310">
        <f t="shared" ca="1" si="76"/>
        <v>7</v>
      </c>
      <c r="Q144" s="304">
        <f t="shared" ca="1" si="77"/>
        <v>983.91298701298683</v>
      </c>
      <c r="R144" s="306">
        <f t="shared" ca="1" si="78"/>
        <v>0.49287375709367409</v>
      </c>
      <c r="S144" s="307">
        <f t="shared" ca="1" si="79"/>
        <v>11.79659546265151</v>
      </c>
      <c r="T144" s="304">
        <f t="shared" ca="1" si="59"/>
        <v>115.72460148861131</v>
      </c>
      <c r="U144" s="311">
        <f t="shared" ca="1" si="60"/>
        <v>0</v>
      </c>
      <c r="V144" s="306">
        <f t="shared" ca="1" si="61"/>
        <v>1.2163419709643188</v>
      </c>
      <c r="W144" s="304">
        <f t="shared" ca="1" si="62"/>
        <v>52.271196047214474</v>
      </c>
      <c r="Y144" s="314" t="str">
        <f t="shared" ca="1" si="80"/>
        <v/>
      </c>
      <c r="Z144" s="315" t="str">
        <f t="shared" ca="1" si="81"/>
        <v/>
      </c>
      <c r="AA144" s="316" t="str">
        <f t="shared" ca="1" si="82"/>
        <v/>
      </c>
      <c r="AC144" s="310" t="e">
        <f t="shared" ca="1" si="83"/>
        <v>#N/A</v>
      </c>
      <c r="AD144" s="323" t="e">
        <f t="shared" ca="1" si="84"/>
        <v>#N/A</v>
      </c>
      <c r="AE144" s="324">
        <f t="shared" ca="1" si="63"/>
        <v>70.928441313459203</v>
      </c>
      <c r="AG144" s="306">
        <f t="shared" ca="1" si="85"/>
        <v>69.279045730336776</v>
      </c>
      <c r="AH144" s="304">
        <f t="shared" ca="1" si="86"/>
        <v>79.035211937883759</v>
      </c>
    </row>
    <row r="145" spans="1:34" x14ac:dyDescent="0.25">
      <c r="A145" s="347">
        <f t="shared" ca="1" si="64"/>
        <v>0.01</v>
      </c>
      <c r="B145" s="304">
        <f t="shared" ca="1" si="65"/>
        <v>1.410000000000001</v>
      </c>
      <c r="D145" s="306">
        <f t="shared" ca="1" si="66"/>
        <v>8.2625428361614563</v>
      </c>
      <c r="E145" s="307">
        <f t="shared" ca="1" si="67"/>
        <v>68.657797839192625</v>
      </c>
      <c r="F145" s="304">
        <f t="shared" ca="1" si="68"/>
        <v>69.153183717359298</v>
      </c>
      <c r="G145" s="306">
        <f t="shared" ca="1" si="69"/>
        <v>10.731094134902449</v>
      </c>
      <c r="H145" s="307">
        <f t="shared" ca="1" si="70"/>
        <v>101.81306002274931</v>
      </c>
      <c r="I145" s="304">
        <f t="shared" ca="1" si="71"/>
        <v>102.37702658569496</v>
      </c>
      <c r="J145" s="306">
        <f t="shared" ca="1" si="72"/>
        <v>7.134154958782382</v>
      </c>
      <c r="K145" s="307">
        <f t="shared" ca="1" si="73"/>
        <v>71.943139023794743</v>
      </c>
      <c r="L145" s="304">
        <f t="shared" ca="1" si="58"/>
        <v>72.295998641508348</v>
      </c>
      <c r="M145" s="306">
        <f t="shared" ca="1" si="74"/>
        <v>1.4657840707588801</v>
      </c>
      <c r="N145" s="304">
        <f t="shared" ca="1" si="75"/>
        <v>83.983240931989044</v>
      </c>
      <c r="P145" s="310">
        <f t="shared" ca="1" si="76"/>
        <v>7</v>
      </c>
      <c r="Q145" s="304">
        <f t="shared" ca="1" si="77"/>
        <v>982.65324675324655</v>
      </c>
      <c r="R145" s="306">
        <f t="shared" ca="1" si="78"/>
        <v>0.49224271255724078</v>
      </c>
      <c r="S145" s="307">
        <f t="shared" ca="1" si="79"/>
        <v>11.791673035525937</v>
      </c>
      <c r="T145" s="304">
        <f t="shared" ca="1" si="59"/>
        <v>115.67631247850944</v>
      </c>
      <c r="U145" s="311">
        <f t="shared" ca="1" si="60"/>
        <v>0</v>
      </c>
      <c r="V145" s="306">
        <f t="shared" ca="1" si="61"/>
        <v>1.2162185537101482</v>
      </c>
      <c r="W145" s="304">
        <f t="shared" ca="1" si="62"/>
        <v>52.979119172328801</v>
      </c>
      <c r="Y145" s="314" t="str">
        <f t="shared" ca="1" si="80"/>
        <v/>
      </c>
      <c r="Z145" s="315" t="str">
        <f t="shared" ca="1" si="81"/>
        <v/>
      </c>
      <c r="AA145" s="316" t="str">
        <f t="shared" ca="1" si="82"/>
        <v/>
      </c>
      <c r="AC145" s="310" t="e">
        <f t="shared" ca="1" si="83"/>
        <v>#N/A</v>
      </c>
      <c r="AD145" s="323" t="e">
        <f t="shared" ca="1" si="84"/>
        <v>#N/A</v>
      </c>
      <c r="AE145" s="324">
        <f t="shared" ca="1" si="63"/>
        <v>71.943139023794743</v>
      </c>
      <c r="AG145" s="306">
        <f t="shared" ca="1" si="85"/>
        <v>69.145552822660179</v>
      </c>
      <c r="AH145" s="304">
        <f t="shared" ca="1" si="86"/>
        <v>78.90161539443794</v>
      </c>
    </row>
    <row r="146" spans="1:34" x14ac:dyDescent="0.25">
      <c r="A146" s="347">
        <f t="shared" ca="1" si="64"/>
        <v>0.01</v>
      </c>
      <c r="B146" s="304">
        <f t="shared" ca="1" si="65"/>
        <v>1.420000000000001</v>
      </c>
      <c r="D146" s="306">
        <f t="shared" ca="1" si="66"/>
        <v>8.2563677278379082</v>
      </c>
      <c r="E146" s="307">
        <f t="shared" ca="1" si="67"/>
        <v>68.523677114080499</v>
      </c>
      <c r="F146" s="304">
        <f t="shared" ca="1" si="68"/>
        <v>69.019286676204089</v>
      </c>
      <c r="G146" s="306">
        <f t="shared" ca="1" si="69"/>
        <v>10.813657812180828</v>
      </c>
      <c r="H146" s="307">
        <f t="shared" ca="1" si="70"/>
        <v>102.49829679389012</v>
      </c>
      <c r="I146" s="304">
        <f t="shared" ca="1" si="71"/>
        <v>103.06714336260283</v>
      </c>
      <c r="J146" s="306">
        <f t="shared" ca="1" si="72"/>
        <v>7.2418787185177989</v>
      </c>
      <c r="K146" s="307">
        <f t="shared" ca="1" si="73"/>
        <v>72.964695807877945</v>
      </c>
      <c r="L146" s="304">
        <f t="shared" ca="1" si="58"/>
        <v>73.323199887279074</v>
      </c>
      <c r="M146" s="306">
        <f t="shared" ca="1" si="74"/>
        <v>1.4656843029896534</v>
      </c>
      <c r="N146" s="304">
        <f t="shared" ca="1" si="75"/>
        <v>83.977524659880928</v>
      </c>
      <c r="P146" s="310">
        <f t="shared" ca="1" si="76"/>
        <v>7</v>
      </c>
      <c r="Q146" s="304">
        <f t="shared" ca="1" si="77"/>
        <v>981.39350649350638</v>
      </c>
      <c r="R146" s="306">
        <f t="shared" ca="1" si="78"/>
        <v>0.49161166802080747</v>
      </c>
      <c r="S146" s="307">
        <f t="shared" ca="1" si="79"/>
        <v>11.786756918845729</v>
      </c>
      <c r="T146" s="304">
        <f t="shared" ca="1" si="59"/>
        <v>115.6280853738766</v>
      </c>
      <c r="U146" s="311">
        <f t="shared" ca="1" si="60"/>
        <v>0</v>
      </c>
      <c r="V146" s="306">
        <f t="shared" ca="1" si="61"/>
        <v>1.2160943147941354</v>
      </c>
      <c r="W146" s="304">
        <f t="shared" ca="1" si="62"/>
        <v>53.690298921485471</v>
      </c>
      <c r="Y146" s="314" t="str">
        <f t="shared" ca="1" si="80"/>
        <v/>
      </c>
      <c r="Z146" s="315" t="str">
        <f t="shared" ca="1" si="81"/>
        <v/>
      </c>
      <c r="AA146" s="316" t="str">
        <f t="shared" ca="1" si="82"/>
        <v/>
      </c>
      <c r="AC146" s="310" t="e">
        <f t="shared" ca="1" si="83"/>
        <v>#N/A</v>
      </c>
      <c r="AD146" s="323" t="e">
        <f t="shared" ca="1" si="84"/>
        <v>#N/A</v>
      </c>
      <c r="AE146" s="324">
        <f t="shared" ca="1" si="63"/>
        <v>72.964695807877945</v>
      </c>
      <c r="AG146" s="306">
        <f t="shared" ca="1" si="85"/>
        <v>69.011626396291391</v>
      </c>
      <c r="AH146" s="304">
        <f t="shared" ca="1" si="86"/>
        <v>78.767585834975947</v>
      </c>
    </row>
    <row r="147" spans="1:34" x14ac:dyDescent="0.25">
      <c r="A147" s="347">
        <f t="shared" ca="1" si="64"/>
        <v>0.01</v>
      </c>
      <c r="B147" s="304">
        <f t="shared" ca="1" si="65"/>
        <v>1.430000000000001</v>
      </c>
      <c r="D147" s="306">
        <f t="shared" ca="1" si="66"/>
        <v>8.2500755179305632</v>
      </c>
      <c r="E147" s="307">
        <f t="shared" ca="1" si="67"/>
        <v>68.389135176658058</v>
      </c>
      <c r="F147" s="304">
        <f t="shared" ca="1" si="68"/>
        <v>68.88495885360436</v>
      </c>
      <c r="G147" s="306">
        <f t="shared" ca="1" si="69"/>
        <v>10.896158567360134</v>
      </c>
      <c r="H147" s="307">
        <f t="shared" ca="1" si="70"/>
        <v>103.1821881456567</v>
      </c>
      <c r="I147" s="304">
        <f t="shared" ca="1" si="71"/>
        <v>103.75591656407239</v>
      </c>
      <c r="J147" s="306">
        <f t="shared" ca="1" si="72"/>
        <v>7.3504278004155035</v>
      </c>
      <c r="K147" s="307">
        <f t="shared" ca="1" si="73"/>
        <v>73.993098232575676</v>
      </c>
      <c r="L147" s="304">
        <f t="shared" ca="1" si="58"/>
        <v>74.357295371098019</v>
      </c>
      <c r="M147" s="306">
        <f t="shared" ca="1" si="74"/>
        <v>1.4655851037095891</v>
      </c>
      <c r="N147" s="304">
        <f t="shared" ca="1" si="75"/>
        <v>83.971840959802506</v>
      </c>
      <c r="P147" s="310">
        <f t="shared" ca="1" si="76"/>
        <v>7</v>
      </c>
      <c r="Q147" s="304">
        <f t="shared" ca="1" si="77"/>
        <v>980.1337662337661</v>
      </c>
      <c r="R147" s="306">
        <f t="shared" ca="1" si="78"/>
        <v>0.4909806234843741</v>
      </c>
      <c r="S147" s="307">
        <f t="shared" ca="1" si="79"/>
        <v>11.781847112610885</v>
      </c>
      <c r="T147" s="304">
        <f t="shared" ca="1" si="59"/>
        <v>115.57992017471278</v>
      </c>
      <c r="U147" s="311">
        <f t="shared" ca="1" si="60"/>
        <v>0</v>
      </c>
      <c r="V147" s="306">
        <f t="shared" ca="1" si="61"/>
        <v>1.2159692561025255</v>
      </c>
      <c r="W147" s="304">
        <f t="shared" ca="1" si="62"/>
        <v>54.404700329032849</v>
      </c>
      <c r="Y147" s="314" t="str">
        <f t="shared" ca="1" si="80"/>
        <v/>
      </c>
      <c r="Z147" s="315" t="str">
        <f t="shared" ca="1" si="81"/>
        <v/>
      </c>
      <c r="AA147" s="316" t="str">
        <f t="shared" ca="1" si="82"/>
        <v/>
      </c>
      <c r="AC147" s="310" t="e">
        <f t="shared" ca="1" si="83"/>
        <v>#N/A</v>
      </c>
      <c r="AD147" s="323" t="e">
        <f t="shared" ca="1" si="84"/>
        <v>#N/A</v>
      </c>
      <c r="AE147" s="324">
        <f t="shared" ca="1" si="63"/>
        <v>73.993098232575676</v>
      </c>
      <c r="AG147" s="306">
        <f t="shared" ca="1" si="85"/>
        <v>68.877269096466833</v>
      </c>
      <c r="AH147" s="304">
        <f t="shared" ca="1" si="86"/>
        <v>78.633125897606263</v>
      </c>
    </row>
    <row r="148" spans="1:34" x14ac:dyDescent="0.25">
      <c r="A148" s="347">
        <f t="shared" ca="1" si="64"/>
        <v>0.01</v>
      </c>
      <c r="B148" s="304">
        <f t="shared" ca="1" si="65"/>
        <v>1.4400000000000011</v>
      </c>
      <c r="D148" s="306">
        <f t="shared" ca="1" si="66"/>
        <v>8.2436672464406495</v>
      </c>
      <c r="E148" s="307">
        <f t="shared" ca="1" si="67"/>
        <v>68.254174596396851</v>
      </c>
      <c r="F148" s="304">
        <f t="shared" ca="1" si="68"/>
        <v>68.750202905194854</v>
      </c>
      <c r="G148" s="306">
        <f t="shared" ca="1" si="69"/>
        <v>10.978595239824541</v>
      </c>
      <c r="H148" s="307">
        <f t="shared" ca="1" si="70"/>
        <v>103.86472989162067</v>
      </c>
      <c r="I148" s="304">
        <f t="shared" ca="1" si="71"/>
        <v>104.44334190794173</v>
      </c>
      <c r="J148" s="306">
        <f t="shared" ca="1" si="72"/>
        <v>7.459801569451427</v>
      </c>
      <c r="K148" s="307">
        <f t="shared" ca="1" si="73"/>
        <v>75.028332822762067</v>
      </c>
      <c r="L148" s="304">
        <f t="shared" ca="1" si="58"/>
        <v>75.398271635487404</v>
      </c>
      <c r="M148" s="306">
        <f t="shared" ca="1" si="74"/>
        <v>1.4654864646797929</v>
      </c>
      <c r="N148" s="304">
        <f t="shared" ca="1" si="75"/>
        <v>83.966189359699925</v>
      </c>
      <c r="P148" s="310">
        <f t="shared" ca="1" si="76"/>
        <v>7</v>
      </c>
      <c r="Q148" s="304">
        <f t="shared" ca="1" si="77"/>
        <v>978.87402597402581</v>
      </c>
      <c r="R148" s="306">
        <f t="shared" ca="1" si="78"/>
        <v>0.49034957894794079</v>
      </c>
      <c r="S148" s="307">
        <f t="shared" ca="1" si="79"/>
        <v>11.776943616821406</v>
      </c>
      <c r="T148" s="304">
        <f t="shared" ca="1" si="59"/>
        <v>115.53181688101799</v>
      </c>
      <c r="U148" s="311">
        <f t="shared" ca="1" si="60"/>
        <v>0</v>
      </c>
      <c r="V148" s="306">
        <f t="shared" ca="1" si="61"/>
        <v>1.2158433795276282</v>
      </c>
      <c r="W148" s="304">
        <f t="shared" ca="1" si="62"/>
        <v>55.122288396278002</v>
      </c>
      <c r="Y148" s="314" t="str">
        <f t="shared" ca="1" si="80"/>
        <v/>
      </c>
      <c r="Z148" s="315" t="str">
        <f t="shared" ca="1" si="81"/>
        <v/>
      </c>
      <c r="AA148" s="316" t="str">
        <f t="shared" ca="1" si="82"/>
        <v/>
      </c>
      <c r="AC148" s="310" t="e">
        <f t="shared" ca="1" si="83"/>
        <v>#N/A</v>
      </c>
      <c r="AD148" s="323" t="e">
        <f t="shared" ca="1" si="84"/>
        <v>#N/A</v>
      </c>
      <c r="AE148" s="324">
        <f t="shared" ca="1" si="63"/>
        <v>75.028332822762067</v>
      </c>
      <c r="AG148" s="306">
        <f t="shared" ca="1" si="85"/>
        <v>68.742483577032417</v>
      </c>
      <c r="AH148" s="304">
        <f t="shared" ca="1" si="86"/>
        <v>78.498238229190662</v>
      </c>
    </row>
    <row r="149" spans="1:34" x14ac:dyDescent="0.25">
      <c r="A149" s="347">
        <f t="shared" ca="1" si="64"/>
        <v>0.01</v>
      </c>
      <c r="B149" s="304">
        <f t="shared" ca="1" si="65"/>
        <v>1.4500000000000011</v>
      </c>
      <c r="D149" s="306">
        <f t="shared" ca="1" si="66"/>
        <v>8.2371439384684635</v>
      </c>
      <c r="E149" s="307">
        <f t="shared" ca="1" si="67"/>
        <v>68.11879795257849</v>
      </c>
      <c r="F149" s="304">
        <f t="shared" ca="1" si="68"/>
        <v>68.615021495057917</v>
      </c>
      <c r="G149" s="306">
        <f t="shared" ca="1" si="69"/>
        <v>11.060966679209226</v>
      </c>
      <c r="H149" s="307">
        <f t="shared" ca="1" si="70"/>
        <v>104.54591787114646</v>
      </c>
      <c r="I149" s="304">
        <f t="shared" ca="1" si="71"/>
        <v>105.12941513867123</v>
      </c>
      <c r="J149" s="306">
        <f t="shared" ca="1" si="72"/>
        <v>7.569999379046596</v>
      </c>
      <c r="K149" s="307">
        <f t="shared" ca="1" si="73"/>
        <v>76.070386061575903</v>
      </c>
      <c r="L149" s="304">
        <f t="shared" ca="1" si="58"/>
        <v>76.446115180275626</v>
      </c>
      <c r="M149" s="306">
        <f t="shared" ca="1" si="74"/>
        <v>1.4653883778329073</v>
      </c>
      <c r="N149" s="304">
        <f t="shared" ca="1" si="75"/>
        <v>83.960569397347626</v>
      </c>
      <c r="P149" s="310">
        <f t="shared" ca="1" si="76"/>
        <v>7</v>
      </c>
      <c r="Q149" s="304">
        <f t="shared" ca="1" si="77"/>
        <v>977.61428571428553</v>
      </c>
      <c r="R149" s="306">
        <f t="shared" ca="1" si="78"/>
        <v>0.48971853441150742</v>
      </c>
      <c r="S149" s="307">
        <f t="shared" ca="1" si="79"/>
        <v>11.772046431477291</v>
      </c>
      <c r="T149" s="304">
        <f t="shared" ca="1" si="59"/>
        <v>115.48377549279223</v>
      </c>
      <c r="U149" s="311">
        <f t="shared" ca="1" si="60"/>
        <v>0</v>
      </c>
      <c r="V149" s="306">
        <f t="shared" ca="1" si="61"/>
        <v>1.2157166869677716</v>
      </c>
      <c r="W149" s="304">
        <f t="shared" ca="1" si="62"/>
        <v>55.843028093389457</v>
      </c>
      <c r="Y149" s="314" t="str">
        <f t="shared" ca="1" si="80"/>
        <v/>
      </c>
      <c r="Z149" s="315" t="str">
        <f t="shared" ca="1" si="81"/>
        <v/>
      </c>
      <c r="AA149" s="316" t="str">
        <f t="shared" ca="1" si="82"/>
        <v/>
      </c>
      <c r="AC149" s="310" t="e">
        <f t="shared" ca="1" si="83"/>
        <v>#N/A</v>
      </c>
      <c r="AD149" s="323" t="e">
        <f t="shared" ca="1" si="84"/>
        <v>#N/A</v>
      </c>
      <c r="AE149" s="324">
        <f t="shared" ca="1" si="63"/>
        <v>76.070386061575903</v>
      </c>
      <c r="AG149" s="306">
        <f t="shared" ca="1" si="85"/>
        <v>68.60727250028954</v>
      </c>
      <c r="AH149" s="304">
        <f t="shared" ca="1" si="86"/>
        <v>78.362925485186238</v>
      </c>
    </row>
    <row r="150" spans="1:34" x14ac:dyDescent="0.25">
      <c r="A150" s="347">
        <f t="shared" ca="1" si="64"/>
        <v>0.01</v>
      </c>
      <c r="B150" s="304">
        <f t="shared" ca="1" si="65"/>
        <v>1.4600000000000011</v>
      </c>
      <c r="D150" s="306">
        <f t="shared" ca="1" si="66"/>
        <v>8.2305066046575543</v>
      </c>
      <c r="E150" s="307">
        <f t="shared" ca="1" si="67"/>
        <v>67.983007834101329</v>
      </c>
      <c r="F150" s="304">
        <f t="shared" ca="1" si="68"/>
        <v>68.479417295569874</v>
      </c>
      <c r="G150" s="306">
        <f t="shared" ca="1" si="69"/>
        <v>11.143271745255802</v>
      </c>
      <c r="H150" s="307">
        <f t="shared" ca="1" si="70"/>
        <v>105.22574794948747</v>
      </c>
      <c r="I150" s="304">
        <f t="shared" ca="1" si="71"/>
        <v>105.81413202742667</v>
      </c>
      <c r="J150" s="306">
        <f t="shared" ca="1" si="72"/>
        <v>7.6810205711689212</v>
      </c>
      <c r="K150" s="307">
        <f t="shared" ca="1" si="73"/>
        <v>77.119244390679071</v>
      </c>
      <c r="L150" s="304">
        <f t="shared" ca="1" si="58"/>
        <v>77.500812462863934</v>
      </c>
      <c r="M150" s="306">
        <f t="shared" ca="1" si="74"/>
        <v>1.4652908352683109</v>
      </c>
      <c r="N150" s="304">
        <f t="shared" ca="1" si="75"/>
        <v>83.954980620073371</v>
      </c>
      <c r="P150" s="310">
        <f t="shared" ca="1" si="76"/>
        <v>7</v>
      </c>
      <c r="Q150" s="304">
        <f t="shared" ca="1" si="77"/>
        <v>976.35454545454525</v>
      </c>
      <c r="R150" s="306">
        <f t="shared" ca="1" si="78"/>
        <v>0.48908748987507411</v>
      </c>
      <c r="S150" s="307">
        <f t="shared" ca="1" si="79"/>
        <v>11.76715555657854</v>
      </c>
      <c r="T150" s="304">
        <f t="shared" ca="1" si="59"/>
        <v>115.43579601003549</v>
      </c>
      <c r="U150" s="311">
        <f t="shared" ca="1" si="60"/>
        <v>0</v>
      </c>
      <c r="V150" s="306">
        <f t="shared" ca="1" si="61"/>
        <v>1.2155891803272547</v>
      </c>
      <c r="W150" s="304">
        <f t="shared" ca="1" si="62"/>
        <v>56.566884361296893</v>
      </c>
      <c r="Y150" s="314" t="str">
        <f t="shared" ca="1" si="80"/>
        <v/>
      </c>
      <c r="Z150" s="315" t="str">
        <f t="shared" ca="1" si="81"/>
        <v/>
      </c>
      <c r="AA150" s="316" t="str">
        <f t="shared" ca="1" si="82"/>
        <v/>
      </c>
      <c r="AC150" s="310" t="e">
        <f t="shared" ca="1" si="83"/>
        <v>#N/A</v>
      </c>
      <c r="AD150" s="323" t="e">
        <f t="shared" ca="1" si="84"/>
        <v>#N/A</v>
      </c>
      <c r="AE150" s="324">
        <f t="shared" ca="1" si="63"/>
        <v>77.119244390679071</v>
      </c>
      <c r="AG150" s="306">
        <f t="shared" ca="1" si="85"/>
        <v>68.471638536840956</v>
      </c>
      <c r="AH150" s="304">
        <f t="shared" ca="1" si="86"/>
        <v>78.227190329487499</v>
      </c>
    </row>
    <row r="151" spans="1:34" x14ac:dyDescent="0.25">
      <c r="A151" s="347">
        <f t="shared" ca="1" si="64"/>
        <v>0.01</v>
      </c>
      <c r="B151" s="304">
        <f t="shared" ca="1" si="65"/>
        <v>1.4700000000000011</v>
      </c>
      <c r="D151" s="306">
        <f t="shared" ca="1" si="66"/>
        <v>8.2237562416227856</v>
      </c>
      <c r="E151" s="307">
        <f t="shared" ca="1" si="67"/>
        <v>67.846806839287893</v>
      </c>
      <c r="F151" s="304">
        <f t="shared" ca="1" si="68"/>
        <v>68.343392987246915</v>
      </c>
      <c r="G151" s="306">
        <f t="shared" ca="1" si="69"/>
        <v>11.225509307672031</v>
      </c>
      <c r="H151" s="307">
        <f t="shared" ca="1" si="70"/>
        <v>105.90421601788034</v>
      </c>
      <c r="I151" s="304">
        <f t="shared" ca="1" si="71"/>
        <v>106.49748837216066</v>
      </c>
      <c r="J151" s="306">
        <f t="shared" ca="1" si="72"/>
        <v>7.7928644764335608</v>
      </c>
      <c r="K151" s="307">
        <f t="shared" ca="1" si="73"/>
        <v>78.174894210515916</v>
      </c>
      <c r="L151" s="304">
        <f t="shared" ca="1" si="58"/>
        <v>78.562349898494091</v>
      </c>
      <c r="M151" s="306">
        <f t="shared" ca="1" si="74"/>
        <v>1.4651938292474878</v>
      </c>
      <c r="N151" s="304">
        <f t="shared" ca="1" si="75"/>
        <v>83.949422584492851</v>
      </c>
      <c r="P151" s="310">
        <f t="shared" ca="1" si="76"/>
        <v>7</v>
      </c>
      <c r="Q151" s="304">
        <f t="shared" ca="1" si="77"/>
        <v>975.09480519480508</v>
      </c>
      <c r="R151" s="306">
        <f t="shared" ca="1" si="78"/>
        <v>0.4884564453386408</v>
      </c>
      <c r="S151" s="307">
        <f t="shared" ca="1" si="79"/>
        <v>11.762270992125154</v>
      </c>
      <c r="T151" s="304">
        <f t="shared" ca="1" si="59"/>
        <v>115.38787843274777</v>
      </c>
      <c r="U151" s="311">
        <f t="shared" ca="1" si="60"/>
        <v>0</v>
      </c>
      <c r="V151" s="306">
        <f t="shared" ca="1" si="61"/>
        <v>1.2154608615163032</v>
      </c>
      <c r="W151" s="304">
        <f t="shared" ca="1" si="62"/>
        <v>57.293822113587339</v>
      </c>
      <c r="Y151" s="314" t="str">
        <f t="shared" ca="1" si="80"/>
        <v/>
      </c>
      <c r="Z151" s="315" t="str">
        <f t="shared" ca="1" si="81"/>
        <v/>
      </c>
      <c r="AA151" s="316" t="str">
        <f t="shared" ca="1" si="82"/>
        <v/>
      </c>
      <c r="AC151" s="310" t="e">
        <f t="shared" ca="1" si="83"/>
        <v>#N/A</v>
      </c>
      <c r="AD151" s="323" t="e">
        <f t="shared" ca="1" si="84"/>
        <v>#N/A</v>
      </c>
      <c r="AE151" s="324">
        <f t="shared" ca="1" si="63"/>
        <v>78.174894210515916</v>
      </c>
      <c r="AG151" s="306">
        <f t="shared" ca="1" si="85"/>
        <v>68.335584365436176</v>
      </c>
      <c r="AH151" s="304">
        <f t="shared" ca="1" si="86"/>
        <v>78.091035434268008</v>
      </c>
    </row>
    <row r="152" spans="1:34" x14ac:dyDescent="0.25">
      <c r="A152" s="347">
        <f t="shared" ca="1" si="64"/>
        <v>0.01</v>
      </c>
      <c r="B152" s="304">
        <f t="shared" ca="1" si="65"/>
        <v>1.4800000000000011</v>
      </c>
      <c r="D152" s="306">
        <f t="shared" ca="1" si="66"/>
        <v>8.2168938323626719</v>
      </c>
      <c r="E152" s="307">
        <f t="shared" ca="1" si="67"/>
        <v>67.710197575693741</v>
      </c>
      <c r="F152" s="304">
        <f t="shared" ca="1" si="68"/>
        <v>68.206951258590962</v>
      </c>
      <c r="G152" s="306">
        <f t="shared" ca="1" si="69"/>
        <v>11.307678245995657</v>
      </c>
      <c r="H152" s="307">
        <f t="shared" ca="1" si="70"/>
        <v>106.58131799363728</v>
      </c>
      <c r="I152" s="304">
        <f t="shared" ca="1" si="71"/>
        <v>107.17947999769262</v>
      </c>
      <c r="J152" s="306">
        <f t="shared" ca="1" si="72"/>
        <v>7.9055304142018992</v>
      </c>
      <c r="K152" s="307">
        <f t="shared" ca="1" si="73"/>
        <v>79.237321880573504</v>
      </c>
      <c r="L152" s="304">
        <f t="shared" ca="1" si="58"/>
        <v>79.630713860516678</v>
      </c>
      <c r="M152" s="306">
        <f t="shared" ca="1" si="74"/>
        <v>1.4650973521895569</v>
      </c>
      <c r="N152" s="304">
        <f t="shared" ca="1" si="75"/>
        <v>83.943894856253578</v>
      </c>
      <c r="P152" s="310">
        <f t="shared" ca="1" si="76"/>
        <v>7</v>
      </c>
      <c r="Q152" s="304">
        <f t="shared" ca="1" si="77"/>
        <v>973.83506493506479</v>
      </c>
      <c r="R152" s="306">
        <f t="shared" ca="1" si="78"/>
        <v>0.48782540080220749</v>
      </c>
      <c r="S152" s="307">
        <f t="shared" ca="1" si="79"/>
        <v>11.757392738117133</v>
      </c>
      <c r="T152" s="304">
        <f t="shared" ca="1" si="59"/>
        <v>115.34002276092909</v>
      </c>
      <c r="U152" s="311">
        <f t="shared" ca="1" si="60"/>
        <v>0</v>
      </c>
      <c r="V152" s="306">
        <f t="shared" ca="1" si="61"/>
        <v>1.2153317324510202</v>
      </c>
      <c r="W152" s="304">
        <f t="shared" ca="1" si="62"/>
        <v>58.023806238397583</v>
      </c>
      <c r="Y152" s="314" t="str">
        <f t="shared" ca="1" si="80"/>
        <v/>
      </c>
      <c r="Z152" s="315" t="str">
        <f t="shared" ca="1" si="81"/>
        <v/>
      </c>
      <c r="AA152" s="316" t="str">
        <f t="shared" ca="1" si="82"/>
        <v/>
      </c>
      <c r="AC152" s="310" t="e">
        <f t="shared" ca="1" si="83"/>
        <v>#N/A</v>
      </c>
      <c r="AD152" s="323" t="e">
        <f t="shared" ca="1" si="84"/>
        <v>#N/A</v>
      </c>
      <c r="AE152" s="324">
        <f t="shared" ca="1" si="63"/>
        <v>79.237321880573504</v>
      </c>
      <c r="AG152" s="306">
        <f t="shared" ca="1" si="85"/>
        <v>68.199112672816682</v>
      </c>
      <c r="AH152" s="304">
        <f t="shared" ca="1" si="86"/>
        <v>77.954463479822081</v>
      </c>
    </row>
    <row r="153" spans="1:34" x14ac:dyDescent="0.25">
      <c r="A153" s="347">
        <f t="shared" ca="1" si="64"/>
        <v>0.01</v>
      </c>
      <c r="B153" s="304">
        <f t="shared" ca="1" si="65"/>
        <v>1.4900000000000011</v>
      </c>
      <c r="D153" s="306">
        <f t="shared" ca="1" si="66"/>
        <v>8.209920346656709</v>
      </c>
      <c r="E153" s="307">
        <f t="shared" ca="1" si="67"/>
        <v>67.573182659917038</v>
      </c>
      <c r="F153" s="304">
        <f t="shared" ca="1" si="68"/>
        <v>68.070094805934858</v>
      </c>
      <c r="G153" s="306">
        <f t="shared" ca="1" si="69"/>
        <v>11.389777449462224</v>
      </c>
      <c r="H153" s="307">
        <f t="shared" ca="1" si="70"/>
        <v>107.25704982023646</v>
      </c>
      <c r="I153" s="304">
        <f t="shared" ca="1" si="71"/>
        <v>107.86010275578715</v>
      </c>
      <c r="J153" s="306">
        <f t="shared" ca="1" si="72"/>
        <v>8.0190176926791885</v>
      </c>
      <c r="K153" s="307">
        <f t="shared" ca="1" si="73"/>
        <v>80.306513719642879</v>
      </c>
      <c r="L153" s="304">
        <f t="shared" ca="1" si="58"/>
        <v>80.705890680660303</v>
      </c>
      <c r="M153" s="306">
        <f t="shared" ca="1" si="74"/>
        <v>1.4650013966669544</v>
      </c>
      <c r="N153" s="304">
        <f t="shared" ca="1" si="75"/>
        <v>83.938397009787479</v>
      </c>
      <c r="P153" s="310">
        <f t="shared" ca="1" si="76"/>
        <v>7</v>
      </c>
      <c r="Q153" s="304">
        <f t="shared" ca="1" si="77"/>
        <v>972.57532467532451</v>
      </c>
      <c r="R153" s="306">
        <f t="shared" ca="1" si="78"/>
        <v>0.48719435626577412</v>
      </c>
      <c r="S153" s="307">
        <f t="shared" ca="1" si="79"/>
        <v>11.752520794554476</v>
      </c>
      <c r="T153" s="304">
        <f t="shared" ca="1" si="59"/>
        <v>115.29222899457942</v>
      </c>
      <c r="U153" s="311">
        <f t="shared" ca="1" si="60"/>
        <v>0</v>
      </c>
      <c r="V153" s="306">
        <f t="shared" ca="1" si="61"/>
        <v>1.2152017950533427</v>
      </c>
      <c r="W153" s="304">
        <f t="shared" ca="1" si="62"/>
        <v>58.756801600303028</v>
      </c>
      <c r="Y153" s="314" t="str">
        <f t="shared" ca="1" si="80"/>
        <v/>
      </c>
      <c r="Z153" s="315" t="str">
        <f t="shared" ca="1" si="81"/>
        <v/>
      </c>
      <c r="AA153" s="316" t="str">
        <f t="shared" ca="1" si="82"/>
        <v/>
      </c>
      <c r="AC153" s="310" t="e">
        <f t="shared" ca="1" si="83"/>
        <v>#N/A</v>
      </c>
      <c r="AD153" s="323" t="e">
        <f t="shared" ca="1" si="84"/>
        <v>#N/A</v>
      </c>
      <c r="AE153" s="324">
        <f t="shared" ca="1" si="63"/>
        <v>80.306513719642879</v>
      </c>
      <c r="AG153" s="306">
        <f t="shared" ca="1" si="85"/>
        <v>68.0622261535608</v>
      </c>
      <c r="AH153" s="304">
        <f t="shared" ca="1" si="86"/>
        <v>77.81747715440622</v>
      </c>
    </row>
    <row r="154" spans="1:34" x14ac:dyDescent="0.25">
      <c r="A154" s="347">
        <f t="shared" ca="1" si="64"/>
        <v>0.01</v>
      </c>
      <c r="B154" s="304">
        <f t="shared" ca="1" si="65"/>
        <v>1.5000000000000011</v>
      </c>
      <c r="D154" s="306">
        <f t="shared" ca="1" si="66"/>
        <v>8.2028367414485288</v>
      </c>
      <c r="E154" s="307">
        <f t="shared" ca="1" si="67"/>
        <v>67.435764717409171</v>
      </c>
      <c r="F154" s="304">
        <f t="shared" ca="1" si="68"/>
        <v>67.932826333287693</v>
      </c>
      <c r="G154" s="306">
        <f t="shared" ca="1" si="69"/>
        <v>11.47180581687671</v>
      </c>
      <c r="H154" s="307">
        <f t="shared" ca="1" si="70"/>
        <v>107.93140746741055</v>
      </c>
      <c r="I154" s="304">
        <f t="shared" ca="1" si="71"/>
        <v>108.53935252523083</v>
      </c>
      <c r="J154" s="306">
        <f t="shared" ca="1" si="72"/>
        <v>8.1333256090108836</v>
      </c>
      <c r="K154" s="307">
        <f t="shared" ca="1" si="73"/>
        <v>81.382456006081114</v>
      </c>
      <c r="L154" s="304">
        <f t="shared" ca="1" si="58"/>
        <v>81.787866649301478</v>
      </c>
      <c r="M154" s="306">
        <f t="shared" ca="1" si="74"/>
        <v>1.4649059554012644</v>
      </c>
      <c r="N154" s="304">
        <f t="shared" ca="1" si="75"/>
        <v>83.932928628072048</v>
      </c>
      <c r="P154" s="310">
        <f t="shared" ca="1" si="76"/>
        <v>7</v>
      </c>
      <c r="Q154" s="304">
        <f t="shared" ca="1" si="77"/>
        <v>971.31558441558423</v>
      </c>
      <c r="R154" s="306">
        <f t="shared" ca="1" si="78"/>
        <v>0.48656331172934081</v>
      </c>
      <c r="S154" s="307">
        <f t="shared" ca="1" si="79"/>
        <v>11.747655161437182</v>
      </c>
      <c r="T154" s="304">
        <f t="shared" ca="1" si="59"/>
        <v>115.24449713369876</v>
      </c>
      <c r="U154" s="311">
        <f t="shared" ca="1" si="60"/>
        <v>0</v>
      </c>
      <c r="V154" s="306">
        <f t="shared" ca="1" si="61"/>
        <v>1.2150710512509928</v>
      </c>
      <c r="W154" s="304">
        <f t="shared" ca="1" si="62"/>
        <v>59.492773042202352</v>
      </c>
      <c r="Y154" s="314" t="str">
        <f t="shared" ca="1" si="80"/>
        <v/>
      </c>
      <c r="Z154" s="315" t="str">
        <f t="shared" ca="1" si="81"/>
        <v/>
      </c>
      <c r="AA154" s="316" t="str">
        <f t="shared" ca="1" si="82"/>
        <v/>
      </c>
      <c r="AC154" s="310" t="e">
        <f t="shared" ca="1" si="83"/>
        <v>#N/A</v>
      </c>
      <c r="AD154" s="323" t="e">
        <f t="shared" ca="1" si="84"/>
        <v>#N/A</v>
      </c>
      <c r="AE154" s="324">
        <f t="shared" ca="1" si="63"/>
        <v>81.382456006081114</v>
      </c>
      <c r="AG154" s="306">
        <f t="shared" ca="1" si="85"/>
        <v>67.924927509928395</v>
      </c>
      <c r="AH154" s="304">
        <f t="shared" ca="1" si="86"/>
        <v>77.680079154080389</v>
      </c>
    </row>
    <row r="155" spans="1:34" x14ac:dyDescent="0.25">
      <c r="A155" s="347">
        <f t="shared" ca="1" si="64"/>
        <v>0.01</v>
      </c>
      <c r="B155" s="304">
        <f t="shared" ca="1" si="65"/>
        <v>1.5100000000000011</v>
      </c>
      <c r="D155" s="306">
        <f t="shared" ca="1" si="66"/>
        <v>8.195643961215108</v>
      </c>
      <c r="E155" s="307">
        <f t="shared" ca="1" si="67"/>
        <v>67.297946382286341</v>
      </c>
      <c r="F155" s="304">
        <f t="shared" ca="1" si="68"/>
        <v>67.795148552179512</v>
      </c>
      <c r="G155" s="306">
        <f t="shared" ca="1" si="69"/>
        <v>11.553762256488861</v>
      </c>
      <c r="H155" s="307">
        <f t="shared" ca="1" si="70"/>
        <v>108.60438693123342</v>
      </c>
      <c r="I155" s="304">
        <f t="shared" ca="1" si="71"/>
        <v>109.21722521190753</v>
      </c>
      <c r="J155" s="306">
        <f t="shared" ca="1" si="72"/>
        <v>8.2484534493777115</v>
      </c>
      <c r="K155" s="307">
        <f t="shared" ca="1" si="73"/>
        <v>82.465134978074332</v>
      </c>
      <c r="L155" s="304">
        <f t="shared" ca="1" si="58"/>
        <v>82.876628015735349</v>
      </c>
      <c r="M155" s="306">
        <f t="shared" ca="1" si="74"/>
        <v>1.4648110212591923</v>
      </c>
      <c r="N155" s="304">
        <f t="shared" ca="1" si="75"/>
        <v>83.927489302399621</v>
      </c>
      <c r="P155" s="310">
        <f t="shared" ca="1" si="76"/>
        <v>7</v>
      </c>
      <c r="Q155" s="304">
        <f t="shared" ca="1" si="77"/>
        <v>970.05584415584394</v>
      </c>
      <c r="R155" s="306">
        <f t="shared" ca="1" si="78"/>
        <v>0.48593226719290744</v>
      </c>
      <c r="S155" s="307">
        <f t="shared" ca="1" si="79"/>
        <v>11.742795838765252</v>
      </c>
      <c r="T155" s="304">
        <f t="shared" ca="1" si="59"/>
        <v>115.19682717828712</v>
      </c>
      <c r="U155" s="311">
        <f t="shared" ca="1" si="60"/>
        <v>0</v>
      </c>
      <c r="V155" s="306">
        <f t="shared" ca="1" si="61"/>
        <v>1.2149395029774315</v>
      </c>
      <c r="W155" s="304">
        <f t="shared" ca="1" si="62"/>
        <v>60.231685387198155</v>
      </c>
      <c r="Y155" s="314" t="str">
        <f t="shared" ca="1" si="80"/>
        <v/>
      </c>
      <c r="Z155" s="315" t="str">
        <f t="shared" ca="1" si="81"/>
        <v/>
      </c>
      <c r="AA155" s="316" t="str">
        <f t="shared" ca="1" si="82"/>
        <v/>
      </c>
      <c r="AC155" s="310" t="e">
        <f t="shared" ca="1" si="83"/>
        <v>#N/A</v>
      </c>
      <c r="AD155" s="323" t="e">
        <f t="shared" ca="1" si="84"/>
        <v>#N/A</v>
      </c>
      <c r="AE155" s="324">
        <f t="shared" ca="1" si="63"/>
        <v>82.465134978074332</v>
      </c>
      <c r="AG155" s="306">
        <f t="shared" ca="1" si="85"/>
        <v>67.787219451705184</v>
      </c>
      <c r="AH155" s="304">
        <f t="shared" ca="1" si="86"/>
        <v>77.542272182549226</v>
      </c>
    </row>
    <row r="156" spans="1:34" x14ac:dyDescent="0.25">
      <c r="A156" s="347">
        <f t="shared" ca="1" si="64"/>
        <v>0.01</v>
      </c>
      <c r="B156" s="304">
        <f t="shared" ca="1" si="65"/>
        <v>1.5200000000000011</v>
      </c>
      <c r="D156" s="306">
        <f t="shared" ca="1" si="66"/>
        <v>8.1883429383228457</v>
      </c>
      <c r="E156" s="307">
        <f t="shared" ca="1" si="67"/>
        <v>67.159730297142104</v>
      </c>
      <c r="F156" s="304">
        <f t="shared" ca="1" si="68"/>
        <v>67.6570641815062</v>
      </c>
      <c r="G156" s="306">
        <f t="shared" ca="1" si="69"/>
        <v>11.63564568587209</v>
      </c>
      <c r="H156" s="307">
        <f t="shared" ca="1" si="70"/>
        <v>109.27598423420484</v>
      </c>
      <c r="I156" s="304">
        <f t="shared" ca="1" si="71"/>
        <v>109.89371674887214</v>
      </c>
      <c r="J156" s="306">
        <f t="shared" ca="1" si="72"/>
        <v>8.3644004890895154</v>
      </c>
      <c r="K156" s="307">
        <f t="shared" ca="1" si="73"/>
        <v>83.554536833901523</v>
      </c>
      <c r="L156" s="304">
        <f t="shared" ca="1" si="58"/>
        <v>83.972160988447158</v>
      </c>
      <c r="M156" s="306">
        <f t="shared" ca="1" si="74"/>
        <v>1.4647165872486705</v>
      </c>
      <c r="N156" s="304">
        <f t="shared" ca="1" si="75"/>
        <v>83.922078632154225</v>
      </c>
      <c r="P156" s="310">
        <f t="shared" ca="1" si="76"/>
        <v>7</v>
      </c>
      <c r="Q156" s="304">
        <f t="shared" ca="1" si="77"/>
        <v>968.79610389610366</v>
      </c>
      <c r="R156" s="306">
        <f t="shared" ca="1" si="78"/>
        <v>0.48530122265647413</v>
      </c>
      <c r="S156" s="307">
        <f t="shared" ca="1" si="79"/>
        <v>11.737942826538687</v>
      </c>
      <c r="T156" s="304">
        <f t="shared" ca="1" si="59"/>
        <v>115.14921912834453</v>
      </c>
      <c r="U156" s="311">
        <f t="shared" ca="1" si="60"/>
        <v>0</v>
      </c>
      <c r="V156" s="306">
        <f t="shared" ca="1" si="61"/>
        <v>1.2148071521718122</v>
      </c>
      <c r="W156" s="304">
        <f t="shared" ca="1" si="62"/>
        <v>60.97350344047328</v>
      </c>
      <c r="Y156" s="314" t="str">
        <f t="shared" ca="1" si="80"/>
        <v/>
      </c>
      <c r="Z156" s="315" t="str">
        <f t="shared" ca="1" si="81"/>
        <v/>
      </c>
      <c r="AA156" s="316" t="str">
        <f t="shared" ca="1" si="82"/>
        <v/>
      </c>
      <c r="AC156" s="310" t="e">
        <f t="shared" ca="1" si="83"/>
        <v>#N/A</v>
      </c>
      <c r="AD156" s="323" t="e">
        <f t="shared" ca="1" si="84"/>
        <v>#N/A</v>
      </c>
      <c r="AE156" s="324">
        <f t="shared" ca="1" si="63"/>
        <v>83.554536833901523</v>
      </c>
      <c r="AG156" s="306">
        <f t="shared" ca="1" si="85"/>
        <v>67.649104696047061</v>
      </c>
      <c r="AH156" s="304">
        <f t="shared" ca="1" si="86"/>
        <v>77.404058951003194</v>
      </c>
    </row>
    <row r="157" spans="1:34" x14ac:dyDescent="0.25">
      <c r="A157" s="347">
        <f t="shared" ca="1" si="64"/>
        <v>0.01</v>
      </c>
      <c r="B157" s="304">
        <f t="shared" ca="1" si="65"/>
        <v>1.5300000000000011</v>
      </c>
      <c r="D157" s="306">
        <f t="shared" ca="1" si="66"/>
        <v>8.1809345933711004</v>
      </c>
      <c r="E157" s="307">
        <f t="shared" ca="1" si="67"/>
        <v>67.021119112860674</v>
      </c>
      <c r="F157" s="304">
        <f t="shared" ca="1" si="68"/>
        <v>67.518575947373733</v>
      </c>
      <c r="G157" s="306">
        <f t="shared" ca="1" si="69"/>
        <v>11.717455031805802</v>
      </c>
      <c r="H157" s="307">
        <f t="shared" ca="1" si="70"/>
        <v>109.94619542533344</v>
      </c>
      <c r="I157" s="304">
        <f t="shared" ca="1" si="71"/>
        <v>110.56882309642265</v>
      </c>
      <c r="J157" s="306">
        <f t="shared" ca="1" si="72"/>
        <v>8.4811659926779051</v>
      </c>
      <c r="K157" s="307">
        <f t="shared" ca="1" si="73"/>
        <v>84.650647732199218</v>
      </c>
      <c r="L157" s="304">
        <f t="shared" ca="1" si="58"/>
        <v>85.074451735384343</v>
      </c>
      <c r="M157" s="306">
        <f t="shared" ca="1" si="74"/>
        <v>1.4646226465150987</v>
      </c>
      <c r="N157" s="304">
        <f t="shared" ca="1" si="75"/>
        <v>83.916696224596208</v>
      </c>
      <c r="P157" s="310">
        <f t="shared" ca="1" si="76"/>
        <v>7</v>
      </c>
      <c r="Q157" s="304">
        <f t="shared" ca="1" si="77"/>
        <v>967.53636363636349</v>
      </c>
      <c r="R157" s="306">
        <f t="shared" ca="1" si="78"/>
        <v>0.48467017812004082</v>
      </c>
      <c r="S157" s="307">
        <f t="shared" ca="1" si="79"/>
        <v>11.733096124757486</v>
      </c>
      <c r="T157" s="304">
        <f t="shared" ca="1" si="59"/>
        <v>115.10167298387094</v>
      </c>
      <c r="U157" s="311">
        <f t="shared" ca="1" si="60"/>
        <v>0</v>
      </c>
      <c r="V157" s="306">
        <f t="shared" ca="1" si="61"/>
        <v>1.2146740007789327</v>
      </c>
      <c r="W157" s="304">
        <f t="shared" ca="1" si="62"/>
        <v>61.718191991162556</v>
      </c>
      <c r="Y157" s="314" t="str">
        <f t="shared" ca="1" si="80"/>
        <v/>
      </c>
      <c r="Z157" s="315" t="str">
        <f t="shared" ca="1" si="81"/>
        <v/>
      </c>
      <c r="AA157" s="316" t="str">
        <f t="shared" ca="1" si="82"/>
        <v/>
      </c>
      <c r="AC157" s="310" t="e">
        <f t="shared" ca="1" si="83"/>
        <v>#N/A</v>
      </c>
      <c r="AD157" s="323" t="e">
        <f t="shared" ca="1" si="84"/>
        <v>#N/A</v>
      </c>
      <c r="AE157" s="324">
        <f t="shared" ca="1" si="63"/>
        <v>84.650647732199218</v>
      </c>
      <c r="AG157" s="306">
        <f t="shared" ca="1" si="85"/>
        <v>67.510585967324033</v>
      </c>
      <c r="AH157" s="304">
        <f t="shared" ca="1" si="86"/>
        <v>77.2654421779595</v>
      </c>
    </row>
    <row r="158" spans="1:34" x14ac:dyDescent="0.25">
      <c r="A158" s="347">
        <f t="shared" ca="1" si="64"/>
        <v>0.01</v>
      </c>
      <c r="B158" s="304">
        <f t="shared" ca="1" si="65"/>
        <v>1.5400000000000011</v>
      </c>
      <c r="D158" s="306">
        <f t="shared" ca="1" si="66"/>
        <v>8.1734198355233829</v>
      </c>
      <c r="E158" s="307">
        <f t="shared" ca="1" si="67"/>
        <v>66.882115488431239</v>
      </c>
      <c r="F158" s="304">
        <f t="shared" ca="1" si="68"/>
        <v>67.379686582942654</v>
      </c>
      <c r="G158" s="306">
        <f t="shared" ca="1" si="69"/>
        <v>11.799189230161035</v>
      </c>
      <c r="H158" s="307">
        <f t="shared" ca="1" si="70"/>
        <v>110.61501658021776</v>
      </c>
      <c r="I158" s="304">
        <f t="shared" ca="1" si="71"/>
        <v>111.24254024217083</v>
      </c>
      <c r="J158" s="306">
        <f t="shared" ca="1" si="72"/>
        <v>8.5987492139877393</v>
      </c>
      <c r="K158" s="307">
        <f t="shared" ca="1" si="73"/>
        <v>85.753453792226978</v>
      </c>
      <c r="L158" s="304">
        <f t="shared" ca="1" si="58"/>
        <v>86.18348638422944</v>
      </c>
      <c r="M158" s="306">
        <f t="shared" ca="1" si="74"/>
        <v>1.4645291923377066</v>
      </c>
      <c r="N158" s="304">
        <f t="shared" ca="1" si="75"/>
        <v>83.911341694653771</v>
      </c>
      <c r="P158" s="310">
        <f t="shared" ca="1" si="76"/>
        <v>7</v>
      </c>
      <c r="Q158" s="304">
        <f t="shared" ca="1" si="77"/>
        <v>966.27662337662321</v>
      </c>
      <c r="R158" s="306">
        <f t="shared" ca="1" si="78"/>
        <v>0.48403913358360751</v>
      </c>
      <c r="S158" s="307">
        <f t="shared" ca="1" si="79"/>
        <v>11.72825573342165</v>
      </c>
      <c r="T158" s="304">
        <f t="shared" ca="1" si="59"/>
        <v>115.05418874486639</v>
      </c>
      <c r="U158" s="311">
        <f t="shared" ca="1" si="60"/>
        <v>0</v>
      </c>
      <c r="V158" s="306">
        <f t="shared" ca="1" si="61"/>
        <v>1.2145400507491899</v>
      </c>
      <c r="W158" s="304">
        <f t="shared" ca="1" si="62"/>
        <v>62.465715814220133</v>
      </c>
      <c r="Y158" s="314" t="str">
        <f t="shared" ca="1" si="80"/>
        <v/>
      </c>
      <c r="Z158" s="315" t="str">
        <f t="shared" ca="1" si="81"/>
        <v/>
      </c>
      <c r="AA158" s="316" t="str">
        <f t="shared" ca="1" si="82"/>
        <v/>
      </c>
      <c r="AC158" s="310" t="e">
        <f t="shared" ca="1" si="83"/>
        <v>#N/A</v>
      </c>
      <c r="AD158" s="323" t="e">
        <f t="shared" ca="1" si="84"/>
        <v>#N/A</v>
      </c>
      <c r="AE158" s="324">
        <f t="shared" ca="1" si="63"/>
        <v>85.753453792226978</v>
      </c>
      <c r="AG158" s="306">
        <f t="shared" ca="1" si="85"/>
        <v>67.371665996964111</v>
      </c>
      <c r="AH158" s="304">
        <f t="shared" ca="1" si="86"/>
        <v>77.126424589103067</v>
      </c>
    </row>
    <row r="159" spans="1:34" x14ac:dyDescent="0.25">
      <c r="A159" s="347">
        <f t="shared" ca="1" si="64"/>
        <v>0.01</v>
      </c>
      <c r="B159" s="304">
        <f t="shared" ca="1" si="65"/>
        <v>1.5500000000000012</v>
      </c>
      <c r="D159" s="306">
        <f t="shared" ca="1" si="66"/>
        <v>8.1657995628269884</v>
      </c>
      <c r="E159" s="307">
        <f t="shared" ca="1" si="67"/>
        <v>66.74272209076301</v>
      </c>
      <c r="F159" s="304">
        <f t="shared" ca="1" si="68"/>
        <v>67.240398828272049</v>
      </c>
      <c r="G159" s="306">
        <f t="shared" ca="1" si="69"/>
        <v>11.880847225789305</v>
      </c>
      <c r="H159" s="307">
        <f t="shared" ca="1" si="70"/>
        <v>111.28244380112538</v>
      </c>
      <c r="I159" s="304">
        <f t="shared" ca="1" si="71"/>
        <v>111.91486420111126</v>
      </c>
      <c r="J159" s="306">
        <f t="shared" ca="1" si="72"/>
        <v>8.7171493962674909</v>
      </c>
      <c r="K159" s="307">
        <f t="shared" ca="1" si="73"/>
        <v>86.862941094133689</v>
      </c>
      <c r="L159" s="304">
        <f t="shared" ca="1" si="58"/>
        <v>87.299251022673644</v>
      </c>
      <c r="M159" s="306">
        <f t="shared" ca="1" si="74"/>
        <v>1.4644362181260373</v>
      </c>
      <c r="N159" s="304">
        <f t="shared" ca="1" si="75"/>
        <v>83.906014664721567</v>
      </c>
      <c r="P159" s="310">
        <f t="shared" ca="1" si="76"/>
        <v>7</v>
      </c>
      <c r="Q159" s="304">
        <f t="shared" ca="1" si="77"/>
        <v>965.01688311688292</v>
      </c>
      <c r="R159" s="306">
        <f t="shared" ca="1" si="78"/>
        <v>0.48340808904717414</v>
      </c>
      <c r="S159" s="307">
        <f t="shared" ca="1" si="79"/>
        <v>11.723421652531178</v>
      </c>
      <c r="T159" s="304">
        <f t="shared" ca="1" si="59"/>
        <v>115.00676641133086</v>
      </c>
      <c r="U159" s="311">
        <f t="shared" ca="1" si="60"/>
        <v>0</v>
      </c>
      <c r="V159" s="306">
        <f t="shared" ca="1" si="61"/>
        <v>1.2144053040385296</v>
      </c>
      <c r="W159" s="304">
        <f t="shared" ca="1" si="62"/>
        <v>63.216039672281667</v>
      </c>
      <c r="Y159" s="314" t="str">
        <f t="shared" ca="1" si="80"/>
        <v/>
      </c>
      <c r="Z159" s="315" t="str">
        <f t="shared" ca="1" si="81"/>
        <v/>
      </c>
      <c r="AA159" s="316" t="str">
        <f t="shared" ca="1" si="82"/>
        <v/>
      </c>
      <c r="AC159" s="310" t="e">
        <f t="shared" ca="1" si="83"/>
        <v>#N/A</v>
      </c>
      <c r="AD159" s="323" t="e">
        <f t="shared" ca="1" si="84"/>
        <v>#N/A</v>
      </c>
      <c r="AE159" s="324">
        <f t="shared" ca="1" si="63"/>
        <v>86.862941094133689</v>
      </c>
      <c r="AG159" s="306">
        <f t="shared" ca="1" si="85"/>
        <v>67.232347523296966</v>
      </c>
      <c r="AH159" s="304">
        <f t="shared" ca="1" si="86"/>
        <v>76.98700891712744</v>
      </c>
    </row>
    <row r="160" spans="1:34" x14ac:dyDescent="0.25">
      <c r="A160" s="347">
        <f t="shared" ca="1" si="64"/>
        <v>0.01</v>
      </c>
      <c r="B160" s="304">
        <f t="shared" ca="1" si="65"/>
        <v>1.5600000000000012</v>
      </c>
      <c r="D160" s="306">
        <f t="shared" ca="1" si="66"/>
        <v>8.1580746625214662</v>
      </c>
      <c r="E160" s="307">
        <f t="shared" ca="1" si="67"/>
        <v>66.602941594501161</v>
      </c>
      <c r="F160" s="304">
        <f t="shared" ca="1" si="68"/>
        <v>67.100715430163689</v>
      </c>
      <c r="G160" s="306">
        <f t="shared" ca="1" si="69"/>
        <v>11.962427972414519</v>
      </c>
      <c r="H160" s="307">
        <f t="shared" ca="1" si="70"/>
        <v>111.94847321707039</v>
      </c>
      <c r="I160" s="304">
        <f t="shared" ca="1" si="71"/>
        <v>112.5857910156887</v>
      </c>
      <c r="J160" s="306">
        <f t="shared" ca="1" si="72"/>
        <v>8.8363657722585103</v>
      </c>
      <c r="K160" s="307">
        <f t="shared" ca="1" si="73"/>
        <v>87.97909567922467</v>
      </c>
      <c r="L160" s="304">
        <f t="shared" ca="1" si="58"/>
        <v>88.421731698691076</v>
      </c>
      <c r="M160" s="306">
        <f t="shared" ca="1" si="74"/>
        <v>1.4643437174165461</v>
      </c>
      <c r="N160" s="304">
        <f t="shared" ca="1" si="75"/>
        <v>83.900714764465746</v>
      </c>
      <c r="P160" s="310">
        <f t="shared" ca="1" si="76"/>
        <v>7</v>
      </c>
      <c r="Q160" s="304">
        <f t="shared" ca="1" si="77"/>
        <v>963.75714285714264</v>
      </c>
      <c r="R160" s="306">
        <f t="shared" ca="1" si="78"/>
        <v>0.48277704451074083</v>
      </c>
      <c r="S160" s="307">
        <f t="shared" ca="1" si="79"/>
        <v>11.71859388208607</v>
      </c>
      <c r="T160" s="304">
        <f t="shared" ca="1" si="59"/>
        <v>114.95940598326436</v>
      </c>
      <c r="U160" s="311">
        <f t="shared" ca="1" si="60"/>
        <v>0</v>
      </c>
      <c r="V160" s="306">
        <f t="shared" ca="1" si="61"/>
        <v>1.214269762608402</v>
      </c>
      <c r="W160" s="304">
        <f t="shared" ca="1" si="62"/>
        <v>63.969128317521836</v>
      </c>
      <c r="Y160" s="314" t="str">
        <f t="shared" ca="1" si="80"/>
        <v/>
      </c>
      <c r="Z160" s="315" t="str">
        <f t="shared" ca="1" si="81"/>
        <v/>
      </c>
      <c r="AA160" s="316" t="str">
        <f t="shared" ca="1" si="82"/>
        <v/>
      </c>
      <c r="AC160" s="310" t="e">
        <f t="shared" ca="1" si="83"/>
        <v>#N/A</v>
      </c>
      <c r="AD160" s="323" t="e">
        <f t="shared" ca="1" si="84"/>
        <v>#N/A</v>
      </c>
      <c r="AE160" s="324">
        <f t="shared" ca="1" si="63"/>
        <v>87.97909567922467</v>
      </c>
      <c r="AG160" s="306">
        <f t="shared" ca="1" si="85"/>
        <v>67.092633291397533</v>
      </c>
      <c r="AH160" s="304">
        <f t="shared" ca="1" si="86"/>
        <v>76.847197901575569</v>
      </c>
    </row>
    <row r="161" spans="1:34" x14ac:dyDescent="0.25">
      <c r="A161" s="347">
        <f t="shared" ca="1" si="64"/>
        <v>0.01</v>
      </c>
      <c r="B161" s="304">
        <f t="shared" ca="1" si="65"/>
        <v>1.5700000000000012</v>
      </c>
      <c r="D161" s="306">
        <f t="shared" ca="1" si="66"/>
        <v>8.1502460113362556</v>
      </c>
      <c r="E161" s="307">
        <f t="shared" ca="1" si="67"/>
        <v>66.462776681843565</v>
      </c>
      <c r="F161" s="304">
        <f t="shared" ca="1" si="68"/>
        <v>66.960639142005732</v>
      </c>
      <c r="G161" s="306">
        <f t="shared" ca="1" si="69"/>
        <v>12.043930432527882</v>
      </c>
      <c r="H161" s="307">
        <f t="shared" ca="1" si="70"/>
        <v>112.61310098388883</v>
      </c>
      <c r="I161" s="304">
        <f t="shared" ca="1" si="71"/>
        <v>113.25531675586411</v>
      </c>
      <c r="J161" s="306">
        <f t="shared" ca="1" si="72"/>
        <v>8.9563975642832219</v>
      </c>
      <c r="K161" s="307">
        <f t="shared" ca="1" si="73"/>
        <v>89.101903550229466</v>
      </c>
      <c r="L161" s="304">
        <f t="shared" ca="1" si="58"/>
        <v>89.550914420813669</v>
      </c>
      <c r="M161" s="306">
        <f t="shared" ca="1" si="74"/>
        <v>1.4642516838693105</v>
      </c>
      <c r="N161" s="304">
        <f t="shared" ca="1" si="75"/>
        <v>83.895441630635531</v>
      </c>
      <c r="P161" s="310">
        <f t="shared" ca="1" si="76"/>
        <v>7</v>
      </c>
      <c r="Q161" s="304">
        <f t="shared" ca="1" si="77"/>
        <v>962.49740259740236</v>
      </c>
      <c r="R161" s="306">
        <f t="shared" ca="1" si="78"/>
        <v>0.48214599997430746</v>
      </c>
      <c r="S161" s="307">
        <f t="shared" ca="1" si="79"/>
        <v>11.713772422086327</v>
      </c>
      <c r="T161" s="304">
        <f t="shared" ca="1" si="59"/>
        <v>114.91210746066687</v>
      </c>
      <c r="U161" s="311">
        <f t="shared" ca="1" si="60"/>
        <v>0</v>
      </c>
      <c r="V161" s="306">
        <f t="shared" ca="1" si="61"/>
        <v>1.2141334284257139</v>
      </c>
      <c r="W161" s="304">
        <f t="shared" ca="1" si="62"/>
        <v>64.724946493506678</v>
      </c>
      <c r="Y161" s="314" t="str">
        <f t="shared" ca="1" si="80"/>
        <v/>
      </c>
      <c r="Z161" s="315" t="str">
        <f t="shared" ca="1" si="81"/>
        <v/>
      </c>
      <c r="AA161" s="316" t="str">
        <f t="shared" ca="1" si="82"/>
        <v/>
      </c>
      <c r="AC161" s="310" t="e">
        <f t="shared" ca="1" si="83"/>
        <v>#N/A</v>
      </c>
      <c r="AD161" s="323" t="e">
        <f t="shared" ca="1" si="84"/>
        <v>#N/A</v>
      </c>
      <c r="AE161" s="324">
        <f t="shared" ca="1" si="63"/>
        <v>89.101903550229466</v>
      </c>
      <c r="AG161" s="306">
        <f t="shared" ca="1" si="85"/>
        <v>66.9525260529294</v>
      </c>
      <c r="AH161" s="304">
        <f t="shared" ca="1" si="86"/>
        <v>76.706994288680619</v>
      </c>
    </row>
    <row r="162" spans="1:34" x14ac:dyDescent="0.25">
      <c r="A162" s="347">
        <f t="shared" ca="1" si="64"/>
        <v>0.01</v>
      </c>
      <c r="B162" s="304">
        <f t="shared" ca="1" si="65"/>
        <v>1.5800000000000012</v>
      </c>
      <c r="D162" s="306">
        <f t="shared" ca="1" si="66"/>
        <v>8.1423144757780381</v>
      </c>
      <c r="E162" s="307">
        <f t="shared" ca="1" si="67"/>
        <v>66.322230042358314</v>
      </c>
      <c r="F162" s="304">
        <f t="shared" ca="1" si="68"/>
        <v>66.820172723616622</v>
      </c>
      <c r="G162" s="306">
        <f t="shared" ca="1" si="69"/>
        <v>12.125353577285662</v>
      </c>
      <c r="H162" s="307">
        <f t="shared" ca="1" si="70"/>
        <v>113.27632328431241</v>
      </c>
      <c r="I162" s="304">
        <f t="shared" ca="1" si="71"/>
        <v>113.92343751917888</v>
      </c>
      <c r="J162" s="306">
        <f t="shared" ca="1" si="72"/>
        <v>9.0772439843322896</v>
      </c>
      <c r="K162" s="307">
        <f t="shared" ca="1" si="73"/>
        <v>90.231350671570468</v>
      </c>
      <c r="L162" s="304">
        <f t="shared" ca="1" si="58"/>
        <v>90.686785158406721</v>
      </c>
      <c r="M162" s="306">
        <f t="shared" ca="1" si="74"/>
        <v>1.4641601112648459</v>
      </c>
      <c r="N162" s="304">
        <f t="shared" ca="1" si="75"/>
        <v>83.890194906880694</v>
      </c>
      <c r="P162" s="310">
        <f t="shared" ca="1" si="76"/>
        <v>7</v>
      </c>
      <c r="Q162" s="304">
        <f t="shared" ca="1" si="77"/>
        <v>961.23766233766219</v>
      </c>
      <c r="R162" s="306">
        <f t="shared" ca="1" si="78"/>
        <v>0.4815149554378742</v>
      </c>
      <c r="S162" s="307">
        <f t="shared" ca="1" si="79"/>
        <v>11.708957272531949</v>
      </c>
      <c r="T162" s="304">
        <f t="shared" ca="1" si="59"/>
        <v>114.86487084353843</v>
      </c>
      <c r="U162" s="311">
        <f t="shared" ca="1" si="60"/>
        <v>0</v>
      </c>
      <c r="V162" s="306">
        <f t="shared" ca="1" si="61"/>
        <v>1.2139963034627796</v>
      </c>
      <c r="W162" s="304">
        <f t="shared" ca="1" si="62"/>
        <v>65.483458937040268</v>
      </c>
      <c r="Y162" s="314" t="str">
        <f t="shared" ca="1" si="80"/>
        <v/>
      </c>
      <c r="Z162" s="315" t="str">
        <f t="shared" ca="1" si="81"/>
        <v/>
      </c>
      <c r="AA162" s="316" t="str">
        <f t="shared" ca="1" si="82"/>
        <v/>
      </c>
      <c r="AC162" s="310" t="e">
        <f t="shared" ca="1" si="83"/>
        <v>#N/A</v>
      </c>
      <c r="AD162" s="323" t="e">
        <f t="shared" ca="1" si="84"/>
        <v>#N/A</v>
      </c>
      <c r="AE162" s="324">
        <f t="shared" ca="1" si="63"/>
        <v>90.231350671570468</v>
      </c>
      <c r="AG162" s="306">
        <f t="shared" ca="1" si="85"/>
        <v>66.812028565988228</v>
      </c>
      <c r="AH162" s="304">
        <f t="shared" ca="1" si="86"/>
        <v>76.566400831206835</v>
      </c>
    </row>
    <row r="163" spans="1:34" x14ac:dyDescent="0.25">
      <c r="A163" s="347">
        <f t="shared" ca="1" si="64"/>
        <v>0.01</v>
      </c>
      <c r="B163" s="304">
        <f t="shared" ca="1" si="65"/>
        <v>1.5900000000000012</v>
      </c>
      <c r="D163" s="306">
        <f t="shared" ca="1" si="66"/>
        <v>8.1342809124081512</v>
      </c>
      <c r="E163" s="307">
        <f t="shared" ca="1" si="67"/>
        <v>66.181304372802003</v>
      </c>
      <c r="F163" s="304">
        <f t="shared" ca="1" si="68"/>
        <v>66.679318941088695</v>
      </c>
      <c r="G163" s="306">
        <f t="shared" ca="1" si="69"/>
        <v>12.206696386409742</v>
      </c>
      <c r="H163" s="307">
        <f t="shared" ca="1" si="70"/>
        <v>113.93813632804043</v>
      </c>
      <c r="I163" s="304">
        <f t="shared" ca="1" si="71"/>
        <v>114.59014943081763</v>
      </c>
      <c r="J163" s="306">
        <f t="shared" ca="1" si="72"/>
        <v>9.198904234150767</v>
      </c>
      <c r="K163" s="307">
        <f t="shared" ca="1" si="73"/>
        <v>91.36742296963223</v>
      </c>
      <c r="L163" s="304">
        <f t="shared" ca="1" si="58"/>
        <v>91.829329841945139</v>
      </c>
      <c r="M163" s="306">
        <f t="shared" ca="1" si="74"/>
        <v>1.4640689935010249</v>
      </c>
      <c r="N163" s="304">
        <f t="shared" ca="1" si="75"/>
        <v>83.884974243575087</v>
      </c>
      <c r="P163" s="310">
        <f t="shared" ca="1" si="76"/>
        <v>7</v>
      </c>
      <c r="Q163" s="304">
        <f t="shared" ca="1" si="77"/>
        <v>959.9779220779219</v>
      </c>
      <c r="R163" s="306">
        <f t="shared" ca="1" si="78"/>
        <v>0.48088391090144084</v>
      </c>
      <c r="S163" s="307">
        <f t="shared" ca="1" si="79"/>
        <v>11.704148433422935</v>
      </c>
      <c r="T163" s="304">
        <f t="shared" ca="1" si="59"/>
        <v>114.817696131879</v>
      </c>
      <c r="U163" s="311">
        <f t="shared" ca="1" si="60"/>
        <v>0</v>
      </c>
      <c r="V163" s="306">
        <f t="shared" ca="1" si="61"/>
        <v>1.2138583896972746</v>
      </c>
      <c r="W163" s="304">
        <f t="shared" ca="1" si="62"/>
        <v>66.244630380006555</v>
      </c>
      <c r="Y163" s="314" t="str">
        <f t="shared" ca="1" si="80"/>
        <v/>
      </c>
      <c r="Z163" s="315" t="str">
        <f t="shared" ca="1" si="81"/>
        <v/>
      </c>
      <c r="AA163" s="316" t="str">
        <f t="shared" ca="1" si="82"/>
        <v/>
      </c>
      <c r="AC163" s="310" t="e">
        <f t="shared" ca="1" si="83"/>
        <v>#N/A</v>
      </c>
      <c r="AD163" s="323" t="e">
        <f t="shared" ca="1" si="84"/>
        <v>#N/A</v>
      </c>
      <c r="AE163" s="324">
        <f t="shared" ca="1" si="63"/>
        <v>91.36742296963223</v>
      </c>
      <c r="AG163" s="306">
        <f t="shared" ca="1" si="85"/>
        <v>66.671143594944951</v>
      </c>
      <c r="AH163" s="304">
        <f t="shared" ca="1" si="86"/>
        <v>76.42542028829024</v>
      </c>
    </row>
    <row r="164" spans="1:34" x14ac:dyDescent="0.25">
      <c r="A164" s="347">
        <f t="shared" ca="1" si="64"/>
        <v>0.01</v>
      </c>
      <c r="B164" s="304">
        <f t="shared" ca="1" si="65"/>
        <v>1.6000000000000012</v>
      </c>
      <c r="D164" s="306">
        <f t="shared" ca="1" si="66"/>
        <v>8.1261461681104326</v>
      </c>
      <c r="E164" s="307">
        <f t="shared" ca="1" si="67"/>
        <v>66.040002376938872</v>
      </c>
      <c r="F164" s="304">
        <f t="shared" ca="1" si="68"/>
        <v>66.53808056663182</v>
      </c>
      <c r="G164" s="306">
        <f t="shared" ca="1" si="69"/>
        <v>12.287957848090846</v>
      </c>
      <c r="H164" s="307">
        <f t="shared" ca="1" si="70"/>
        <v>114.59853635180981</v>
      </c>
      <c r="I164" s="304">
        <f t="shared" ca="1" si="71"/>
        <v>115.25544864366948</v>
      </c>
      <c r="J164" s="306">
        <f t="shared" ca="1" si="72"/>
        <v>9.3213775053232695</v>
      </c>
      <c r="K164" s="307">
        <f t="shared" ca="1" si="73"/>
        <v>92.510106333031487</v>
      </c>
      <c r="L164" s="304">
        <f t="shared" ca="1" si="58"/>
        <v>92.978534363290223</v>
      </c>
      <c r="M164" s="306">
        <f t="shared" ca="1" si="74"/>
        <v>1.4639783245900941</v>
      </c>
      <c r="N164" s="304">
        <f t="shared" ca="1" si="75"/>
        <v>83.879779297645698</v>
      </c>
      <c r="P164" s="310">
        <f t="shared" ca="1" si="76"/>
        <v>7</v>
      </c>
      <c r="Q164" s="304">
        <f t="shared" ca="1" si="77"/>
        <v>958.71818181818162</v>
      </c>
      <c r="R164" s="306">
        <f t="shared" ca="1" si="78"/>
        <v>0.48025286636500752</v>
      </c>
      <c r="S164" s="307">
        <f t="shared" ca="1" si="79"/>
        <v>11.699345904759285</v>
      </c>
      <c r="T164" s="304">
        <f t="shared" ca="1" si="59"/>
        <v>114.77058332568859</v>
      </c>
      <c r="U164" s="311">
        <f t="shared" ca="1" si="60"/>
        <v>0</v>
      </c>
      <c r="V164" s="306">
        <f t="shared" ca="1" si="61"/>
        <v>1.2137196891121886</v>
      </c>
      <c r="W164" s="304">
        <f t="shared" ca="1" si="62"/>
        <v>67.00842555120515</v>
      </c>
      <c r="Y164" s="314" t="str">
        <f t="shared" ca="1" si="80"/>
        <v/>
      </c>
      <c r="Z164" s="315" t="str">
        <f t="shared" ca="1" si="81"/>
        <v/>
      </c>
      <c r="AA164" s="316" t="str">
        <f t="shared" ca="1" si="82"/>
        <v/>
      </c>
      <c r="AC164" s="310" t="e">
        <f t="shared" ca="1" si="83"/>
        <v>#N/A</v>
      </c>
      <c r="AD164" s="323" t="e">
        <f t="shared" ca="1" si="84"/>
        <v>#N/A</v>
      </c>
      <c r="AE164" s="324">
        <f t="shared" ca="1" si="63"/>
        <v>92.510106333031487</v>
      </c>
      <c r="AG164" s="306">
        <f t="shared" ca="1" si="85"/>
        <v>66.529873910289126</v>
      </c>
      <c r="AH164" s="304">
        <f t="shared" ca="1" si="86"/>
        <v>76.28405542527959</v>
      </c>
    </row>
    <row r="165" spans="1:34" x14ac:dyDescent="0.25">
      <c r="A165" s="347">
        <f t="shared" ca="1" si="64"/>
        <v>0.01</v>
      </c>
      <c r="B165" s="304">
        <f t="shared" ca="1" si="65"/>
        <v>1.6100000000000012</v>
      </c>
      <c r="D165" s="306">
        <f t="shared" ca="1" si="66"/>
        <v>8.1179110803499022</v>
      </c>
      <c r="E165" s="307">
        <f t="shared" ca="1" si="67"/>
        <v>65.89832676536048</v>
      </c>
      <c r="F165" s="304">
        <f t="shared" ca="1" si="68"/>
        <v>66.396460378416961</v>
      </c>
      <c r="G165" s="306">
        <f t="shared" ca="1" si="69"/>
        <v>12.369136958894345</v>
      </c>
      <c r="H165" s="307">
        <f t="shared" ca="1" si="70"/>
        <v>115.25751961946342</v>
      </c>
      <c r="I165" s="304">
        <f t="shared" ca="1" si="71"/>
        <v>115.91933133838756</v>
      </c>
      <c r="J165" s="306">
        <f t="shared" ca="1" si="72"/>
        <v>9.4446629793581955</v>
      </c>
      <c r="K165" s="307">
        <f t="shared" ca="1" si="73"/>
        <v>93.659386612887857</v>
      </c>
      <c r="L165" s="304">
        <f t="shared" ca="1" si="58"/>
        <v>94.134384575967019</v>
      </c>
      <c r="M165" s="306">
        <f t="shared" ca="1" si="74"/>
        <v>1.4638880986557858</v>
      </c>
      <c r="N165" s="304">
        <f t="shared" ca="1" si="75"/>
        <v>83.874609732407208</v>
      </c>
      <c r="P165" s="310">
        <f t="shared" ca="1" si="76"/>
        <v>7</v>
      </c>
      <c r="Q165" s="304">
        <f t="shared" ca="1" si="77"/>
        <v>957.45844155844134</v>
      </c>
      <c r="R165" s="306">
        <f t="shared" ca="1" si="78"/>
        <v>0.47962182182857416</v>
      </c>
      <c r="S165" s="307">
        <f t="shared" ca="1" si="79"/>
        <v>11.694549686541</v>
      </c>
      <c r="T165" s="304">
        <f t="shared" ca="1" si="59"/>
        <v>114.72353242496722</v>
      </c>
      <c r="U165" s="311">
        <f t="shared" ca="1" si="60"/>
        <v>0</v>
      </c>
      <c r="V165" s="306">
        <f t="shared" ca="1" si="61"/>
        <v>1.2135802036957759</v>
      </c>
      <c r="W165" s="304">
        <f t="shared" ca="1" si="62"/>
        <v>67.774809178181357</v>
      </c>
      <c r="Y165" s="314" t="str">
        <f t="shared" ca="1" si="80"/>
        <v/>
      </c>
      <c r="Z165" s="315" t="str">
        <f t="shared" ca="1" si="81"/>
        <v/>
      </c>
      <c r="AA165" s="316" t="str">
        <f t="shared" ca="1" si="82"/>
        <v/>
      </c>
      <c r="AC165" s="310" t="e">
        <f t="shared" ca="1" si="83"/>
        <v>#N/A</v>
      </c>
      <c r="AD165" s="323" t="e">
        <f t="shared" ca="1" si="84"/>
        <v>#N/A</v>
      </c>
      <c r="AE165" s="324">
        <f t="shared" ca="1" si="63"/>
        <v>93.659386612887857</v>
      </c>
      <c r="AG165" s="306">
        <f t="shared" ca="1" si="85"/>
        <v>66.388222288471965</v>
      </c>
      <c r="AH165" s="304">
        <f t="shared" ca="1" si="86"/>
        <v>76.142309013577105</v>
      </c>
    </row>
    <row r="166" spans="1:34" x14ac:dyDescent="0.25">
      <c r="A166" s="347">
        <f t="shared" ca="1" si="64"/>
        <v>0.01</v>
      </c>
      <c r="B166" s="304">
        <f t="shared" ca="1" si="65"/>
        <v>1.6200000000000012</v>
      </c>
      <c r="D166" s="306">
        <f t="shared" ca="1" si="66"/>
        <v>8.1095764774226335</v>
      </c>
      <c r="E166" s="307">
        <f t="shared" ca="1" si="67"/>
        <v>65.756280255306422</v>
      </c>
      <c r="F166" s="304">
        <f t="shared" ca="1" si="68"/>
        <v>66.254461160419737</v>
      </c>
      <c r="G166" s="306">
        <f t="shared" ca="1" si="69"/>
        <v>12.45023272366857</v>
      </c>
      <c r="H166" s="307">
        <f t="shared" ca="1" si="70"/>
        <v>115.91508242201648</v>
      </c>
      <c r="I166" s="304">
        <f t="shared" ca="1" si="71"/>
        <v>116.58179372344715</v>
      </c>
      <c r="J166" s="306">
        <f t="shared" ca="1" si="72"/>
        <v>9.5687598277710109</v>
      </c>
      <c r="K166" s="307">
        <f t="shared" ca="1" si="73"/>
        <v>94.815249623095255</v>
      </c>
      <c r="L166" s="304">
        <f t="shared" ca="1" si="58"/>
        <v>95.296866295442413</v>
      </c>
      <c r="M166" s="306">
        <f t="shared" ca="1" si="74"/>
        <v>1.4637983099305205</v>
      </c>
      <c r="N166" s="304">
        <f t="shared" ca="1" si="75"/>
        <v>83.86946521740164</v>
      </c>
      <c r="P166" s="310">
        <f t="shared" ca="1" si="76"/>
        <v>7</v>
      </c>
      <c r="Q166" s="304">
        <f t="shared" ca="1" si="77"/>
        <v>956.19870129870105</v>
      </c>
      <c r="R166" s="306">
        <f t="shared" ca="1" si="78"/>
        <v>0.47899077729214079</v>
      </c>
      <c r="S166" s="307">
        <f t="shared" ca="1" si="79"/>
        <v>11.68975977876808</v>
      </c>
      <c r="T166" s="304">
        <f t="shared" ca="1" si="59"/>
        <v>114.67654342971487</v>
      </c>
      <c r="U166" s="311">
        <f t="shared" ca="1" si="60"/>
        <v>0</v>
      </c>
      <c r="V166" s="306">
        <f t="shared" ca="1" si="61"/>
        <v>1.2134399354415095</v>
      </c>
      <c r="W166" s="304">
        <f t="shared" ca="1" si="62"/>
        <v>68.543745989050478</v>
      </c>
      <c r="Y166" s="314" t="str">
        <f t="shared" ca="1" si="80"/>
        <v/>
      </c>
      <c r="Z166" s="315" t="str">
        <f t="shared" ca="1" si="81"/>
        <v/>
      </c>
      <c r="AA166" s="316" t="str">
        <f t="shared" ca="1" si="82"/>
        <v/>
      </c>
      <c r="AC166" s="310" t="e">
        <f t="shared" ca="1" si="83"/>
        <v>#N/A</v>
      </c>
      <c r="AD166" s="323" t="e">
        <f t="shared" ca="1" si="84"/>
        <v>#N/A</v>
      </c>
      <c r="AE166" s="324">
        <f t="shared" ca="1" si="63"/>
        <v>94.815249623095255</v>
      </c>
      <c r="AG166" s="306">
        <f t="shared" ca="1" si="85"/>
        <v>66.246191511749629</v>
      </c>
      <c r="AH166" s="304">
        <f t="shared" ca="1" si="86"/>
        <v>76.000183830479514</v>
      </c>
    </row>
    <row r="167" spans="1:34" x14ac:dyDescent="0.25">
      <c r="A167" s="347">
        <f t="shared" ca="1" si="64"/>
        <v>0.01</v>
      </c>
      <c r="B167" s="304">
        <f t="shared" ca="1" si="65"/>
        <v>1.6300000000000012</v>
      </c>
      <c r="D167" s="306">
        <f t="shared" ca="1" si="66"/>
        <v>8.1011431786971571</v>
      </c>
      <c r="E167" s="307">
        <f t="shared" ca="1" si="67"/>
        <v>65.613865570485544</v>
      </c>
      <c r="F167" s="304">
        <f t="shared" ca="1" si="68"/>
        <v>66.112085702263997</v>
      </c>
      <c r="G167" s="306">
        <f t="shared" ca="1" si="69"/>
        <v>12.531244155455541</v>
      </c>
      <c r="H167" s="307">
        <f t="shared" ca="1" si="70"/>
        <v>116.57122107772133</v>
      </c>
      <c r="I167" s="304">
        <f t="shared" ca="1" si="71"/>
        <v>117.24283203520214</v>
      </c>
      <c r="J167" s="306">
        <f t="shared" ca="1" si="72"/>
        <v>9.6936672121666305</v>
      </c>
      <c r="K167" s="307">
        <f t="shared" ca="1" si="73"/>
        <v>95.977681140593944</v>
      </c>
      <c r="L167" s="304">
        <f t="shared" ca="1" si="58"/>
        <v>96.465965299403692</v>
      </c>
      <c r="M167" s="306">
        <f t="shared" ca="1" si="74"/>
        <v>1.4637089527526976</v>
      </c>
      <c r="N167" s="304">
        <f t="shared" ca="1" si="75"/>
        <v>83.864345428243197</v>
      </c>
      <c r="P167" s="310">
        <f t="shared" ca="1" si="76"/>
        <v>7</v>
      </c>
      <c r="Q167" s="304">
        <f t="shared" ca="1" si="77"/>
        <v>954.93896103896088</v>
      </c>
      <c r="R167" s="306">
        <f t="shared" ca="1" si="78"/>
        <v>0.47835973275570753</v>
      </c>
      <c r="S167" s="307">
        <f t="shared" ca="1" si="79"/>
        <v>11.684976181440522</v>
      </c>
      <c r="T167" s="304">
        <f t="shared" ca="1" si="59"/>
        <v>114.62961633993153</v>
      </c>
      <c r="U167" s="311">
        <f t="shared" ca="1" si="60"/>
        <v>0</v>
      </c>
      <c r="V167" s="306">
        <f t="shared" ca="1" si="61"/>
        <v>1.2132988863480314</v>
      </c>
      <c r="W167" s="304">
        <f t="shared" ca="1" si="62"/>
        <v>69.315200714315878</v>
      </c>
      <c r="Y167" s="314" t="str">
        <f t="shared" ca="1" si="80"/>
        <v/>
      </c>
      <c r="Z167" s="315" t="str">
        <f t="shared" ca="1" si="81"/>
        <v/>
      </c>
      <c r="AA167" s="316" t="str">
        <f t="shared" ca="1" si="82"/>
        <v/>
      </c>
      <c r="AC167" s="310" t="e">
        <f t="shared" ca="1" si="83"/>
        <v>#N/A</v>
      </c>
      <c r="AD167" s="323" t="e">
        <f t="shared" ca="1" si="84"/>
        <v>#N/A</v>
      </c>
      <c r="AE167" s="324">
        <f t="shared" ca="1" si="63"/>
        <v>95.977681140593944</v>
      </c>
      <c r="AG167" s="306">
        <f t="shared" ca="1" si="85"/>
        <v>66.103784368026368</v>
      </c>
      <c r="AH167" s="304">
        <f t="shared" ca="1" si="86"/>
        <v>75.857682659018963</v>
      </c>
    </row>
    <row r="168" spans="1:34" x14ac:dyDescent="0.25">
      <c r="A168" s="347">
        <f t="shared" ca="1" si="64"/>
        <v>0.01</v>
      </c>
      <c r="B168" s="304">
        <f t="shared" ca="1" si="65"/>
        <v>1.6400000000000012</v>
      </c>
      <c r="D168" s="306">
        <f t="shared" ca="1" si="66"/>
        <v>8.0926119948476174</v>
      </c>
      <c r="E168" s="307">
        <f t="shared" ca="1" si="67"/>
        <v>65.471085440897909</v>
      </c>
      <c r="F168" s="304">
        <f t="shared" ca="1" si="68"/>
        <v>65.96933679906526</v>
      </c>
      <c r="G168" s="306">
        <f t="shared" ca="1" si="69"/>
        <v>12.612170275404017</v>
      </c>
      <c r="H168" s="307">
        <f t="shared" ca="1" si="70"/>
        <v>117.22593193213031</v>
      </c>
      <c r="I168" s="304">
        <f t="shared" ca="1" si="71"/>
        <v>117.90244253793995</v>
      </c>
      <c r="J168" s="306">
        <f t="shared" ca="1" si="72"/>
        <v>9.8193842843209289</v>
      </c>
      <c r="K168" s="307">
        <f t="shared" ca="1" si="73"/>
        <v>97.146666905643201</v>
      </c>
      <c r="L168" s="304">
        <f t="shared" ca="1" si="58"/>
        <v>97.64166732803757</v>
      </c>
      <c r="M168" s="306">
        <f t="shared" ca="1" si="74"/>
        <v>1.4636200215640709</v>
      </c>
      <c r="N168" s="304">
        <f t="shared" ca="1" si="75"/>
        <v>83.859250046467807</v>
      </c>
      <c r="P168" s="310">
        <f t="shared" ca="1" si="76"/>
        <v>7</v>
      </c>
      <c r="Q168" s="304">
        <f t="shared" ca="1" si="77"/>
        <v>953.6792207792206</v>
      </c>
      <c r="R168" s="306">
        <f t="shared" ca="1" si="78"/>
        <v>0.47772868821927417</v>
      </c>
      <c r="S168" s="307">
        <f t="shared" ca="1" si="79"/>
        <v>11.680198894558329</v>
      </c>
      <c r="T168" s="304">
        <f t="shared" ca="1" si="59"/>
        <v>114.5827511556172</v>
      </c>
      <c r="U168" s="311">
        <f t="shared" ca="1" si="60"/>
        <v>0</v>
      </c>
      <c r="V168" s="306">
        <f t="shared" ca="1" si="61"/>
        <v>1.2131570584191058</v>
      </c>
      <c r="W168" s="304">
        <f t="shared" ca="1" si="62"/>
        <v>70.089138088680841</v>
      </c>
      <c r="Y168" s="314" t="str">
        <f t="shared" ca="1" si="80"/>
        <v/>
      </c>
      <c r="Z168" s="315" t="str">
        <f t="shared" ca="1" si="81"/>
        <v/>
      </c>
      <c r="AA168" s="316" t="str">
        <f t="shared" ca="1" si="82"/>
        <v/>
      </c>
      <c r="AC168" s="310" t="e">
        <f t="shared" ca="1" si="83"/>
        <v>#N/A</v>
      </c>
      <c r="AD168" s="323" t="e">
        <f t="shared" ca="1" si="84"/>
        <v>#N/A</v>
      </c>
      <c r="AE168" s="324">
        <f t="shared" ca="1" si="63"/>
        <v>97.146666905643201</v>
      </c>
      <c r="AG168" s="306">
        <f t="shared" ca="1" si="85"/>
        <v>65.96100365069762</v>
      </c>
      <c r="AH168" s="304">
        <f t="shared" ca="1" si="86"/>
        <v>75.714808287804061</v>
      </c>
    </row>
    <row r="169" spans="1:34" x14ac:dyDescent="0.25">
      <c r="A169" s="347">
        <f t="shared" ca="1" si="64"/>
        <v>0.01</v>
      </c>
      <c r="B169" s="304">
        <f t="shared" ca="1" si="65"/>
        <v>1.6500000000000012</v>
      </c>
      <c r="D169" s="306">
        <f t="shared" ca="1" si="66"/>
        <v>8.0839837280791063</v>
      </c>
      <c r="E169" s="307">
        <f t="shared" ca="1" si="67"/>
        <v>65.327942602657544</v>
      </c>
      <c r="F169" s="304">
        <f t="shared" ca="1" si="68"/>
        <v>65.826217251274329</v>
      </c>
      <c r="G169" s="306">
        <f t="shared" ca="1" si="69"/>
        <v>12.693010112684808</v>
      </c>
      <c r="H169" s="307">
        <f t="shared" ca="1" si="70"/>
        <v>117.87921135815688</v>
      </c>
      <c r="I169" s="304">
        <f t="shared" ca="1" si="71"/>
        <v>118.56062152393493</v>
      </c>
      <c r="J169" s="306">
        <f t="shared" ca="1" si="72"/>
        <v>9.9459101862613739</v>
      </c>
      <c r="K169" s="307">
        <f t="shared" ca="1" si="73"/>
        <v>98.322192622094633</v>
      </c>
      <c r="L169" s="304">
        <f t="shared" ca="1" si="58"/>
        <v>98.823958084309993</v>
      </c>
      <c r="M169" s="306">
        <f t="shared" ca="1" si="74"/>
        <v>1.4635315109072033</v>
      </c>
      <c r="N169" s="304">
        <f t="shared" ca="1" si="75"/>
        <v>83.854178759387366</v>
      </c>
      <c r="P169" s="310">
        <f t="shared" ca="1" si="76"/>
        <v>7</v>
      </c>
      <c r="Q169" s="304">
        <f t="shared" ca="1" si="77"/>
        <v>952.41948051948032</v>
      </c>
      <c r="R169" s="306">
        <f t="shared" ca="1" si="78"/>
        <v>0.47709764368284086</v>
      </c>
      <c r="S169" s="307">
        <f t="shared" ca="1" si="79"/>
        <v>11.6754279181215</v>
      </c>
      <c r="T169" s="304">
        <f t="shared" ca="1" si="59"/>
        <v>114.53594787677191</v>
      </c>
      <c r="U169" s="311">
        <f t="shared" ca="1" si="60"/>
        <v>0</v>
      </c>
      <c r="V169" s="306">
        <f t="shared" ca="1" si="61"/>
        <v>1.2130144536635723</v>
      </c>
      <c r="W169" s="304">
        <f t="shared" ca="1" si="62"/>
        <v>70.865522852854255</v>
      </c>
      <c r="Y169" s="314" t="str">
        <f t="shared" ca="1" si="80"/>
        <v/>
      </c>
      <c r="Z169" s="315" t="str">
        <f t="shared" ca="1" si="81"/>
        <v/>
      </c>
      <c r="AA169" s="316" t="str">
        <f t="shared" ca="1" si="82"/>
        <v/>
      </c>
      <c r="AC169" s="310" t="e">
        <f t="shared" ca="1" si="83"/>
        <v>#N/A</v>
      </c>
      <c r="AD169" s="323" t="e">
        <f t="shared" ca="1" si="84"/>
        <v>#N/A</v>
      </c>
      <c r="AE169" s="324">
        <f t="shared" ca="1" si="63"/>
        <v>98.322192622094633</v>
      </c>
      <c r="AG169" s="306">
        <f t="shared" ca="1" si="85"/>
        <v>65.817852158493253</v>
      </c>
      <c r="AH169" s="304">
        <f t="shared" ca="1" si="86"/>
        <v>75.571563510861068</v>
      </c>
    </row>
    <row r="170" spans="1:34" x14ac:dyDescent="0.25">
      <c r="A170" s="347">
        <f t="shared" ca="1" si="64"/>
        <v>0.01</v>
      </c>
      <c r="B170" s="304">
        <f t="shared" ca="1" si="65"/>
        <v>1.6600000000000013</v>
      </c>
      <c r="D170" s="306">
        <f t="shared" ca="1" si="66"/>
        <v>8.0752591723455005</v>
      </c>
      <c r="E170" s="307">
        <f t="shared" ca="1" si="67"/>
        <v>65.184439797815969</v>
      </c>
      <c r="F170" s="304">
        <f t="shared" ca="1" si="68"/>
        <v>65.682729864521036</v>
      </c>
      <c r="G170" s="306">
        <f t="shared" ca="1" si="69"/>
        <v>12.773762704408263</v>
      </c>
      <c r="H170" s="307">
        <f t="shared" ca="1" si="70"/>
        <v>118.53105575613505</v>
      </c>
      <c r="I170" s="304">
        <f t="shared" ca="1" si="71"/>
        <v>119.21736531350007</v>
      </c>
      <c r="J170" s="306">
        <f t="shared" ca="1" si="72"/>
        <v>10.073244050346839</v>
      </c>
      <c r="K170" s="307">
        <f t="shared" ca="1" si="73"/>
        <v>99.504243957666091</v>
      </c>
      <c r="L170" s="304">
        <f t="shared" ca="1" si="58"/>
        <v>100.0128232342462</v>
      </c>
      <c r="M170" s="306">
        <f t="shared" ca="1" si="74"/>
        <v>1.4634434154230023</v>
      </c>
      <c r="N170" s="304">
        <f t="shared" ca="1" si="75"/>
        <v>83.849131259948479</v>
      </c>
      <c r="P170" s="310">
        <f t="shared" ca="1" si="76"/>
        <v>7</v>
      </c>
      <c r="Q170" s="304">
        <f t="shared" ca="1" si="77"/>
        <v>951.15974025974003</v>
      </c>
      <c r="R170" s="306">
        <f t="shared" ca="1" si="78"/>
        <v>0.47646659914640749</v>
      </c>
      <c r="S170" s="307">
        <f t="shared" ca="1" si="79"/>
        <v>11.670663252130035</v>
      </c>
      <c r="T170" s="304">
        <f t="shared" ca="1" si="59"/>
        <v>114.48920650339565</v>
      </c>
      <c r="U170" s="311">
        <f t="shared" ca="1" si="60"/>
        <v>0</v>
      </c>
      <c r="V170" s="306">
        <f t="shared" ca="1" si="61"/>
        <v>1.2128710740952946</v>
      </c>
      <c r="W170" s="304">
        <f t="shared" ca="1" si="62"/>
        <v>71.644319755349272</v>
      </c>
      <c r="Y170" s="314" t="str">
        <f t="shared" ca="1" si="80"/>
        <v/>
      </c>
      <c r="Z170" s="315" t="str">
        <f t="shared" ca="1" si="81"/>
        <v/>
      </c>
      <c r="AA170" s="316" t="str">
        <f t="shared" ca="1" si="82"/>
        <v/>
      </c>
      <c r="AC170" s="310" t="e">
        <f t="shared" ca="1" si="83"/>
        <v>#N/A</v>
      </c>
      <c r="AD170" s="323" t="e">
        <f t="shared" ca="1" si="84"/>
        <v>#N/A</v>
      </c>
      <c r="AE170" s="324">
        <f t="shared" ca="1" si="63"/>
        <v>99.504243957666091</v>
      </c>
      <c r="AG170" s="306">
        <f t="shared" ca="1" si="85"/>
        <v>65.67433269532097</v>
      </c>
      <c r="AH170" s="304">
        <f t="shared" ca="1" si="86"/>
        <v>75.427951127475254</v>
      </c>
    </row>
    <row r="171" spans="1:34" x14ac:dyDescent="0.25">
      <c r="A171" s="347">
        <f t="shared" ca="1" si="64"/>
        <v>0.01</v>
      </c>
      <c r="B171" s="304">
        <f t="shared" ca="1" si="65"/>
        <v>1.6700000000000013</v>
      </c>
      <c r="D171" s="306">
        <f t="shared" ca="1" si="66"/>
        <v>8.0664391135598876</v>
      </c>
      <c r="E171" s="307">
        <f t="shared" ca="1" si="67"/>
        <v>65.04057977418617</v>
      </c>
      <c r="F171" s="304">
        <f t="shared" ca="1" si="68"/>
        <v>65.538877449457758</v>
      </c>
      <c r="G171" s="306">
        <f t="shared" ca="1" si="69"/>
        <v>12.854427095543862</v>
      </c>
      <c r="H171" s="307">
        <f t="shared" ca="1" si="70"/>
        <v>119.18146155387691</v>
      </c>
      <c r="I171" s="304">
        <f t="shared" ca="1" si="71"/>
        <v>119.87267025503725</v>
      </c>
      <c r="J171" s="306">
        <f t="shared" ca="1" si="72"/>
        <v>10.201384999346599</v>
      </c>
      <c r="K171" s="307">
        <f t="shared" ca="1" si="73"/>
        <v>100.69280654421615</v>
      </c>
      <c r="L171" s="304">
        <f t="shared" ca="1" si="58"/>
        <v>101.20824840721153</v>
      </c>
      <c r="M171" s="306">
        <f t="shared" ca="1" si="74"/>
        <v>1.4633557298483288</v>
      </c>
      <c r="N171" s="304">
        <f t="shared" ca="1" si="75"/>
        <v>83.844107246595513</v>
      </c>
      <c r="P171" s="310">
        <f t="shared" ca="1" si="76"/>
        <v>7</v>
      </c>
      <c r="Q171" s="304">
        <f t="shared" ca="1" si="77"/>
        <v>949.89999999999975</v>
      </c>
      <c r="R171" s="306">
        <f t="shared" ca="1" si="78"/>
        <v>0.47583555460997418</v>
      </c>
      <c r="S171" s="307">
        <f t="shared" ca="1" si="79"/>
        <v>11.665904896583935</v>
      </c>
      <c r="T171" s="304">
        <f t="shared" ca="1" si="59"/>
        <v>114.44252703548841</v>
      </c>
      <c r="U171" s="311">
        <f t="shared" ca="1" si="60"/>
        <v>0</v>
      </c>
      <c r="V171" s="306">
        <f t="shared" ca="1" si="61"/>
        <v>1.2127269217331154</v>
      </c>
      <c r="W171" s="304">
        <f t="shared" ca="1" si="62"/>
        <v>72.425493554275732</v>
      </c>
      <c r="Y171" s="314" t="str">
        <f t="shared" ca="1" si="80"/>
        <v/>
      </c>
      <c r="Z171" s="315" t="str">
        <f t="shared" ca="1" si="81"/>
        <v/>
      </c>
      <c r="AA171" s="316" t="str">
        <f t="shared" ca="1" si="82"/>
        <v/>
      </c>
      <c r="AC171" s="310" t="e">
        <f t="shared" ca="1" si="83"/>
        <v>#N/A</v>
      </c>
      <c r="AD171" s="323" t="e">
        <f t="shared" ca="1" si="84"/>
        <v>#N/A</v>
      </c>
      <c r="AE171" s="324">
        <f t="shared" ca="1" si="63"/>
        <v>100.69280654421615</v>
      </c>
      <c r="AG171" s="306">
        <f t="shared" ca="1" si="85"/>
        <v>65.530448070109443</v>
      </c>
      <c r="AH171" s="304">
        <f t="shared" ca="1" si="86"/>
        <v>75.283973942032162</v>
      </c>
    </row>
    <row r="172" spans="1:34" x14ac:dyDescent="0.25">
      <c r="A172" s="347">
        <f t="shared" ca="1" si="64"/>
        <v>0.01</v>
      </c>
      <c r="B172" s="304">
        <f t="shared" ca="1" si="65"/>
        <v>1.6800000000000013</v>
      </c>
      <c r="D172" s="306">
        <f t="shared" ca="1" si="66"/>
        <v>8.0575243297980546</v>
      </c>
      <c r="E172" s="307">
        <f t="shared" ca="1" si="67"/>
        <v>64.896365285167533</v>
      </c>
      <c r="F172" s="304">
        <f t="shared" ca="1" si="68"/>
        <v>65.394662821603305</v>
      </c>
      <c r="G172" s="306">
        <f t="shared" ca="1" si="69"/>
        <v>12.935002338841842</v>
      </c>
      <c r="H172" s="307">
        <f t="shared" ca="1" si="70"/>
        <v>119.83042520672859</v>
      </c>
      <c r="I172" s="304">
        <f t="shared" ca="1" si="71"/>
        <v>120.52653272508596</v>
      </c>
      <c r="J172" s="306">
        <f t="shared" ca="1" si="72"/>
        <v>10.330332146518527</v>
      </c>
      <c r="K172" s="307">
        <f t="shared" ca="1" si="73"/>
        <v>101.88786597801918</v>
      </c>
      <c r="L172" s="304">
        <f t="shared" ca="1" si="58"/>
        <v>102.41021919619249</v>
      </c>
      <c r="M172" s="306">
        <f t="shared" ca="1" si="74"/>
        <v>1.4632684490136794</v>
      </c>
      <c r="N172" s="304">
        <f t="shared" ca="1" si="75"/>
        <v>83.839106423137721</v>
      </c>
      <c r="P172" s="310">
        <f t="shared" ca="1" si="76"/>
        <v>7</v>
      </c>
      <c r="Q172" s="304">
        <f t="shared" ca="1" si="77"/>
        <v>948.64025974025958</v>
      </c>
      <c r="R172" s="306">
        <f t="shared" ca="1" si="78"/>
        <v>0.47520451007354086</v>
      </c>
      <c r="S172" s="307">
        <f t="shared" ca="1" si="79"/>
        <v>11.6611528514832</v>
      </c>
      <c r="T172" s="304">
        <f t="shared" ca="1" si="59"/>
        <v>114.3959094730502</v>
      </c>
      <c r="U172" s="311">
        <f t="shared" ca="1" si="60"/>
        <v>0</v>
      </c>
      <c r="V172" s="306">
        <f t="shared" ca="1" si="61"/>
        <v>1.2125819986008064</v>
      </c>
      <c r="W172" s="304">
        <f t="shared" ca="1" si="62"/>
        <v>73.209009019125631</v>
      </c>
      <c r="Y172" s="314" t="str">
        <f t="shared" ca="1" si="80"/>
        <v/>
      </c>
      <c r="Z172" s="315" t="str">
        <f t="shared" ca="1" si="81"/>
        <v/>
      </c>
      <c r="AA172" s="316" t="str">
        <f t="shared" ca="1" si="82"/>
        <v/>
      </c>
      <c r="AC172" s="310" t="e">
        <f t="shared" ca="1" si="83"/>
        <v>#N/A</v>
      </c>
      <c r="AD172" s="323" t="e">
        <f t="shared" ca="1" si="84"/>
        <v>#N/A</v>
      </c>
      <c r="AE172" s="324">
        <f t="shared" ca="1" si="63"/>
        <v>101.88786597801918</v>
      </c>
      <c r="AG172" s="306">
        <f t="shared" ca="1" si="85"/>
        <v>65.386201096651888</v>
      </c>
      <c r="AH172" s="304">
        <f t="shared" ca="1" si="86"/>
        <v>75.139634763859291</v>
      </c>
    </row>
    <row r="173" spans="1:34" x14ac:dyDescent="0.25">
      <c r="A173" s="347">
        <f t="shared" ca="1" si="64"/>
        <v>0.01</v>
      </c>
      <c r="B173" s="304">
        <f t="shared" ca="1" si="65"/>
        <v>1.6900000000000013</v>
      </c>
      <c r="D173" s="306">
        <f t="shared" ca="1" si="66"/>
        <v>8.0485155914952404</v>
      </c>
      <c r="E173" s="307">
        <f t="shared" ca="1" si="67"/>
        <v>64.751799089571165</v>
      </c>
      <c r="F173" s="304">
        <f t="shared" ca="1" si="68"/>
        <v>65.25008880118655</v>
      </c>
      <c r="G173" s="306">
        <f t="shared" ca="1" si="69"/>
        <v>13.015487494756794</v>
      </c>
      <c r="H173" s="307">
        <f t="shared" ca="1" si="70"/>
        <v>120.4779431976243</v>
      </c>
      <c r="I173" s="304">
        <f t="shared" ca="1" si="71"/>
        <v>121.17894912837029</v>
      </c>
      <c r="J173" s="306">
        <f t="shared" ca="1" si="72"/>
        <v>10.460084595686521</v>
      </c>
      <c r="K173" s="307">
        <f t="shared" ca="1" si="73"/>
        <v>103.08940782004095</v>
      </c>
      <c r="L173" s="304">
        <f t="shared" ca="1" si="58"/>
        <v>103.61872115807856</v>
      </c>
      <c r="M173" s="306">
        <f t="shared" ca="1" si="74"/>
        <v>1.4631815678409388</v>
      </c>
      <c r="N173" s="304">
        <f t="shared" ca="1" si="75"/>
        <v>83.83412849862053</v>
      </c>
      <c r="P173" s="310">
        <f t="shared" ca="1" si="76"/>
        <v>7</v>
      </c>
      <c r="Q173" s="304">
        <f t="shared" ca="1" si="77"/>
        <v>947.3805194805193</v>
      </c>
      <c r="R173" s="306">
        <f t="shared" ca="1" si="78"/>
        <v>0.47457346553710755</v>
      </c>
      <c r="S173" s="307">
        <f t="shared" ca="1" si="79"/>
        <v>11.656407116827829</v>
      </c>
      <c r="T173" s="304">
        <f t="shared" ca="1" si="59"/>
        <v>114.34935381608101</v>
      </c>
      <c r="U173" s="311">
        <f t="shared" ca="1" si="60"/>
        <v>0</v>
      </c>
      <c r="V173" s="306">
        <f t="shared" ca="1" si="61"/>
        <v>1.2124363067270223</v>
      </c>
      <c r="W173" s="304">
        <f t="shared" ca="1" si="62"/>
        <v>73.994830932551665</v>
      </c>
      <c r="Y173" s="314" t="str">
        <f t="shared" ca="1" si="80"/>
        <v/>
      </c>
      <c r="Z173" s="315" t="str">
        <f t="shared" ca="1" si="81"/>
        <v/>
      </c>
      <c r="AA173" s="316" t="str">
        <f t="shared" ca="1" si="82"/>
        <v/>
      </c>
      <c r="AC173" s="310" t="e">
        <f t="shared" ca="1" si="83"/>
        <v>#N/A</v>
      </c>
      <c r="AD173" s="323" t="e">
        <f t="shared" ca="1" si="84"/>
        <v>#N/A</v>
      </c>
      <c r="AE173" s="324">
        <f t="shared" ca="1" si="63"/>
        <v>103.08940782004095</v>
      </c>
      <c r="AG173" s="306">
        <f t="shared" ca="1" si="85"/>
        <v>65.241594593449392</v>
      </c>
      <c r="AH173" s="304">
        <f t="shared" ca="1" si="86"/>
        <v>74.994936407067627</v>
      </c>
    </row>
    <row r="174" spans="1:34" x14ac:dyDescent="0.25">
      <c r="A174" s="347">
        <f t="shared" ca="1" si="64"/>
        <v>0.01</v>
      </c>
      <c r="B174" s="304">
        <f t="shared" ca="1" si="65"/>
        <v>1.7000000000000013</v>
      </c>
      <c r="D174" s="306">
        <f t="shared" ca="1" si="66"/>
        <v>8.0394136616362566</v>
      </c>
      <c r="E174" s="307">
        <f t="shared" ca="1" si="67"/>
        <v>64.606883951446406</v>
      </c>
      <c r="F174" s="304">
        <f t="shared" ca="1" si="68"/>
        <v>65.10515821299083</v>
      </c>
      <c r="G174" s="306">
        <f t="shared" ca="1" si="69"/>
        <v>13.095881631373157</v>
      </c>
      <c r="H174" s="307">
        <f t="shared" ca="1" si="70"/>
        <v>121.12401203713877</v>
      </c>
      <c r="I174" s="304">
        <f t="shared" ca="1" si="71"/>
        <v>121.82991589784454</v>
      </c>
      <c r="J174" s="306">
        <f t="shared" ca="1" si="72"/>
        <v>10.590641441317171</v>
      </c>
      <c r="K174" s="307">
        <f t="shared" ca="1" si="73"/>
        <v>104.29741759621476</v>
      </c>
      <c r="L174" s="304">
        <f t="shared" ca="1" si="58"/>
        <v>104.83373981394421</v>
      </c>
      <c r="M174" s="306">
        <f t="shared" ca="1" si="74"/>
        <v>1.4630950813411985</v>
      </c>
      <c r="N174" s="304">
        <f t="shared" ca="1" si="75"/>
        <v>83.829173187200553</v>
      </c>
      <c r="P174" s="310">
        <f t="shared" ca="1" si="76"/>
        <v>7</v>
      </c>
      <c r="Q174" s="304">
        <f t="shared" ca="1" si="77"/>
        <v>946.12077922077901</v>
      </c>
      <c r="R174" s="306">
        <f t="shared" ca="1" si="78"/>
        <v>0.47394242100067419</v>
      </c>
      <c r="S174" s="307">
        <f t="shared" ca="1" si="79"/>
        <v>11.651667692617822</v>
      </c>
      <c r="T174" s="304">
        <f t="shared" ca="1" si="59"/>
        <v>114.30286006458084</v>
      </c>
      <c r="U174" s="311">
        <f t="shared" ca="1" si="60"/>
        <v>0</v>
      </c>
      <c r="V174" s="306">
        <f t="shared" ca="1" si="61"/>
        <v>1.2122898481452489</v>
      </c>
      <c r="W174" s="304">
        <f t="shared" ca="1" si="62"/>
        <v>74.782924092138231</v>
      </c>
      <c r="Y174" s="314" t="str">
        <f t="shared" ca="1" si="80"/>
        <v/>
      </c>
      <c r="Z174" s="315" t="str">
        <f t="shared" ca="1" si="81"/>
        <v/>
      </c>
      <c r="AA174" s="316" t="str">
        <f t="shared" ca="1" si="82"/>
        <v/>
      </c>
      <c r="AC174" s="310" t="e">
        <f t="shared" ca="1" si="83"/>
        <v>#N/A</v>
      </c>
      <c r="AD174" s="323" t="e">
        <f t="shared" ca="1" si="84"/>
        <v>#N/A</v>
      </c>
      <c r="AE174" s="324">
        <f t="shared" ca="1" si="63"/>
        <v>104.29741759621476</v>
      </c>
      <c r="AG174" s="306">
        <f t="shared" ca="1" si="85"/>
        <v>65.096631383554865</v>
      </c>
      <c r="AH174" s="304">
        <f t="shared" ca="1" si="86"/>
        <v>74.849881690393772</v>
      </c>
    </row>
    <row r="175" spans="1:34" x14ac:dyDescent="0.25">
      <c r="A175" s="347">
        <f t="shared" ca="1" si="64"/>
        <v>0.01</v>
      </c>
      <c r="B175" s="304">
        <f t="shared" ca="1" si="65"/>
        <v>1.7100000000000013</v>
      </c>
      <c r="D175" s="306">
        <f t="shared" ca="1" si="66"/>
        <v>8.0302192959395082</v>
      </c>
      <c r="E175" s="307">
        <f t="shared" ca="1" si="67"/>
        <v>64.461622639907347</v>
      </c>
      <c r="F175" s="304">
        <f t="shared" ca="1" si="68"/>
        <v>64.959873886197585</v>
      </c>
      <c r="G175" s="306">
        <f t="shared" ca="1" si="69"/>
        <v>13.176183824332552</v>
      </c>
      <c r="H175" s="307">
        <f t="shared" ca="1" si="70"/>
        <v>121.76862826353785</v>
      </c>
      <c r="I175" s="304">
        <f t="shared" ca="1" si="71"/>
        <v>122.47942949473708</v>
      </c>
      <c r="J175" s="306">
        <f t="shared" ca="1" si="72"/>
        <v>10.7220017685957</v>
      </c>
      <c r="K175" s="307">
        <f t="shared" ca="1" si="73"/>
        <v>105.51188079771813</v>
      </c>
      <c r="L175" s="304">
        <f t="shared" ca="1" si="58"/>
        <v>106.05526064933154</v>
      </c>
      <c r="M175" s="306">
        <f t="shared" ca="1" si="74"/>
        <v>1.4630089846126422</v>
      </c>
      <c r="N175" s="304">
        <f t="shared" ca="1" si="75"/>
        <v>83.824240208024392</v>
      </c>
      <c r="P175" s="310">
        <f t="shared" ca="1" si="76"/>
        <v>7</v>
      </c>
      <c r="Q175" s="304">
        <f t="shared" ca="1" si="77"/>
        <v>944.86103896103873</v>
      </c>
      <c r="R175" s="306">
        <f t="shared" ca="1" si="78"/>
        <v>0.47331137646424087</v>
      </c>
      <c r="S175" s="307">
        <f t="shared" ca="1" si="79"/>
        <v>11.64693457885318</v>
      </c>
      <c r="T175" s="304">
        <f t="shared" ca="1" si="59"/>
        <v>114.2564282185497</v>
      </c>
      <c r="U175" s="311">
        <f t="shared" ca="1" si="60"/>
        <v>0</v>
      </c>
      <c r="V175" s="306">
        <f t="shared" ca="1" si="61"/>
        <v>1.2121426248937586</v>
      </c>
      <c r="W175" s="304">
        <f t="shared" ca="1" si="62"/>
        <v>75.573253312165889</v>
      </c>
      <c r="Y175" s="314" t="str">
        <f t="shared" ca="1" si="80"/>
        <v/>
      </c>
      <c r="Z175" s="315" t="str">
        <f t="shared" ca="1" si="81"/>
        <v/>
      </c>
      <c r="AA175" s="316" t="str">
        <f t="shared" ca="1" si="82"/>
        <v/>
      </c>
      <c r="AC175" s="310" t="e">
        <f t="shared" ca="1" si="83"/>
        <v>#N/A</v>
      </c>
      <c r="AD175" s="323" t="e">
        <f t="shared" ca="1" si="84"/>
        <v>#N/A</v>
      </c>
      <c r="AE175" s="324">
        <f t="shared" ca="1" si="63"/>
        <v>105.51188079771813</v>
      </c>
      <c r="AG175" s="306">
        <f t="shared" ca="1" si="85"/>
        <v>64.951314294416477</v>
      </c>
      <c r="AH175" s="304">
        <f t="shared" ca="1" si="86"/>
        <v>74.704473437041756</v>
      </c>
    </row>
    <row r="176" spans="1:34" x14ac:dyDescent="0.25">
      <c r="A176" s="347">
        <f t="shared" ca="1" si="64"/>
        <v>0.01</v>
      </c>
      <c r="B176" s="304">
        <f t="shared" ca="1" si="65"/>
        <v>1.7200000000000013</v>
      </c>
      <c r="D176" s="306">
        <f t="shared" ca="1" si="66"/>
        <v>8.0209332430347882</v>
      </c>
      <c r="E176" s="307">
        <f t="shared" ca="1" si="67"/>
        <v>64.316017928960633</v>
      </c>
      <c r="F176" s="304">
        <f t="shared" ca="1" si="68"/>
        <v>64.814238654230948</v>
      </c>
      <c r="G176" s="306">
        <f t="shared" ca="1" si="69"/>
        <v>13.256393156762901</v>
      </c>
      <c r="H176" s="307">
        <f t="shared" ca="1" si="70"/>
        <v>122.41178844282746</v>
      </c>
      <c r="I176" s="304">
        <f t="shared" ca="1" si="71"/>
        <v>123.12748640859284</v>
      </c>
      <c r="J176" s="306">
        <f t="shared" ca="1" si="72"/>
        <v>10.854164653501178</v>
      </c>
      <c r="K176" s="307">
        <f t="shared" ca="1" si="73"/>
        <v>106.73278288124996</v>
      </c>
      <c r="L176" s="304">
        <f t="shared" ca="1" si="58"/>
        <v>107.28326911453323</v>
      </c>
      <c r="M176" s="306">
        <f t="shared" ca="1" si="74"/>
        <v>1.4629232728384924</v>
      </c>
      <c r="N176" s="304">
        <f t="shared" ca="1" si="75"/>
        <v>83.819329285111039</v>
      </c>
      <c r="P176" s="310">
        <f t="shared" ca="1" si="76"/>
        <v>7</v>
      </c>
      <c r="Q176" s="304">
        <f t="shared" ca="1" si="77"/>
        <v>943.60129870129845</v>
      </c>
      <c r="R176" s="306">
        <f t="shared" ca="1" si="78"/>
        <v>0.47268033192780751</v>
      </c>
      <c r="S176" s="307">
        <f t="shared" ca="1" si="79"/>
        <v>11.642207775533903</v>
      </c>
      <c r="T176" s="304">
        <f t="shared" ca="1" si="59"/>
        <v>114.2100582779876</v>
      </c>
      <c r="U176" s="311">
        <f t="shared" ca="1" si="60"/>
        <v>0</v>
      </c>
      <c r="V176" s="306">
        <f t="shared" ca="1" si="61"/>
        <v>1.2119946390155594</v>
      </c>
      <c r="W176" s="304">
        <f t="shared" ca="1" si="62"/>
        <v>76.365783425367709</v>
      </c>
      <c r="Y176" s="314" t="str">
        <f t="shared" ca="1" si="80"/>
        <v/>
      </c>
      <c r="Z176" s="315" t="str">
        <f t="shared" ca="1" si="81"/>
        <v/>
      </c>
      <c r="AA176" s="316" t="str">
        <f t="shared" ca="1" si="82"/>
        <v/>
      </c>
      <c r="AC176" s="310" t="e">
        <f t="shared" ca="1" si="83"/>
        <v>#N/A</v>
      </c>
      <c r="AD176" s="323" t="e">
        <f t="shared" ca="1" si="84"/>
        <v>#N/A</v>
      </c>
      <c r="AE176" s="324">
        <f t="shared" ca="1" si="63"/>
        <v>106.73278288124996</v>
      </c>
      <c r="AG176" s="306">
        <f t="shared" ca="1" si="85"/>
        <v>64.805646157721824</v>
      </c>
      <c r="AH176" s="304">
        <f t="shared" ca="1" si="86"/>
        <v>74.558714474525473</v>
      </c>
    </row>
    <row r="177" spans="1:34" x14ac:dyDescent="0.25">
      <c r="A177" s="347">
        <f t="shared" ca="1" si="64"/>
        <v>0.01</v>
      </c>
      <c r="B177" s="304">
        <f t="shared" ca="1" si="65"/>
        <v>1.7300000000000013</v>
      </c>
      <c r="D177" s="306">
        <f t="shared" ca="1" si="66"/>
        <v>8.0115562446353437</v>
      </c>
      <c r="E177" s="307">
        <f t="shared" ca="1" si="67"/>
        <v>64.170072597333572</v>
      </c>
      <c r="F177" s="304">
        <f t="shared" ca="1" si="68"/>
        <v>64.668255354602053</v>
      </c>
      <c r="G177" s="306">
        <f t="shared" ca="1" si="69"/>
        <v>13.336508719209254</v>
      </c>
      <c r="H177" s="307">
        <f t="shared" ca="1" si="70"/>
        <v>123.05348916880079</v>
      </c>
      <c r="I177" s="304">
        <f t="shared" ca="1" si="71"/>
        <v>123.77408315731415</v>
      </c>
      <c r="J177" s="306">
        <f t="shared" ca="1" si="72"/>
        <v>10.987129162881038</v>
      </c>
      <c r="K177" s="307">
        <f t="shared" ca="1" si="73"/>
        <v>107.96010926930811</v>
      </c>
      <c r="L177" s="304">
        <f t="shared" ca="1" si="58"/>
        <v>108.517750624876</v>
      </c>
      <c r="M177" s="306">
        <f t="shared" ca="1" si="74"/>
        <v>1.4628379412850179</v>
      </c>
      <c r="N177" s="304">
        <f t="shared" ca="1" si="75"/>
        <v>83.814440147237647</v>
      </c>
      <c r="P177" s="310">
        <f t="shared" ca="1" si="76"/>
        <v>7</v>
      </c>
      <c r="Q177" s="304">
        <f t="shared" ca="1" si="77"/>
        <v>942.34155844155828</v>
      </c>
      <c r="R177" s="306">
        <f t="shared" ca="1" si="78"/>
        <v>0.47204928739137425</v>
      </c>
      <c r="S177" s="307">
        <f t="shared" ca="1" si="79"/>
        <v>11.63748728265999</v>
      </c>
      <c r="T177" s="304">
        <f t="shared" ca="1" si="59"/>
        <v>114.16375024289451</v>
      </c>
      <c r="U177" s="311">
        <f t="shared" ca="1" si="60"/>
        <v>0</v>
      </c>
      <c r="V177" s="306">
        <f t="shared" ca="1" si="61"/>
        <v>1.2118458925583468</v>
      </c>
      <c r="W177" s="304">
        <f t="shared" ca="1" si="62"/>
        <v>77.16047928467863</v>
      </c>
      <c r="Y177" s="314" t="str">
        <f t="shared" ca="1" si="80"/>
        <v/>
      </c>
      <c r="Z177" s="315" t="str">
        <f t="shared" ca="1" si="81"/>
        <v/>
      </c>
      <c r="AA177" s="316" t="str">
        <f t="shared" ca="1" si="82"/>
        <v/>
      </c>
      <c r="AC177" s="310" t="e">
        <f t="shared" ca="1" si="83"/>
        <v>#N/A</v>
      </c>
      <c r="AD177" s="323" t="e">
        <f t="shared" ca="1" si="84"/>
        <v>#N/A</v>
      </c>
      <c r="AE177" s="324">
        <f t="shared" ca="1" si="63"/>
        <v>107.96010926930811</v>
      </c>
      <c r="AG177" s="306">
        <f t="shared" ca="1" si="85"/>
        <v>64.659629809241935</v>
      </c>
      <c r="AH177" s="304">
        <f t="shared" ca="1" si="86"/>
        <v>74.412607634511104</v>
      </c>
    </row>
    <row r="178" spans="1:34" x14ac:dyDescent="0.25">
      <c r="A178" s="347">
        <f t="shared" ca="1" si="64"/>
        <v>0.01</v>
      </c>
      <c r="B178" s="304">
        <f t="shared" ca="1" si="65"/>
        <v>1.7400000000000013</v>
      </c>
      <c r="D178" s="306">
        <f t="shared" ca="1" si="66"/>
        <v>8.0020890357043335</v>
      </c>
      <c r="E178" s="307">
        <f t="shared" ca="1" si="67"/>
        <v>64.023789428302962</v>
      </c>
      <c r="F178" s="304">
        <f t="shared" ca="1" si="68"/>
        <v>64.521926828753479</v>
      </c>
      <c r="G178" s="306">
        <f t="shared" ca="1" si="69"/>
        <v>13.416529609566297</v>
      </c>
      <c r="H178" s="307">
        <f t="shared" ca="1" si="70"/>
        <v>123.69372706308383</v>
      </c>
      <c r="I178" s="304">
        <f t="shared" ca="1" si="71"/>
        <v>124.41921628719997</v>
      </c>
      <c r="J178" s="306">
        <f t="shared" ca="1" si="72"/>
        <v>11.120894354524916</v>
      </c>
      <c r="K178" s="307">
        <f t="shared" ca="1" si="73"/>
        <v>109.19384535046753</v>
      </c>
      <c r="L178" s="304">
        <f t="shared" ca="1" si="58"/>
        <v>109.75869056100443</v>
      </c>
      <c r="M178" s="306">
        <f t="shared" ca="1" si="74"/>
        <v>1.4627529852996</v>
      </c>
      <c r="N178" s="304">
        <f t="shared" ca="1" si="75"/>
        <v>83.809572527828834</v>
      </c>
      <c r="P178" s="310">
        <f t="shared" ca="1" si="76"/>
        <v>7</v>
      </c>
      <c r="Q178" s="304">
        <f t="shared" ca="1" si="77"/>
        <v>941.08181818181799</v>
      </c>
      <c r="R178" s="306">
        <f t="shared" ca="1" si="78"/>
        <v>0.47141824285494088</v>
      </c>
      <c r="S178" s="307">
        <f t="shared" ca="1" si="79"/>
        <v>11.632773100231441</v>
      </c>
      <c r="T178" s="304">
        <f t="shared" ca="1" si="59"/>
        <v>114.11750411327044</v>
      </c>
      <c r="U178" s="311">
        <f t="shared" ca="1" si="60"/>
        <v>0</v>
      </c>
      <c r="V178" s="306">
        <f t="shared" ca="1" si="61"/>
        <v>1.2116963875744577</v>
      </c>
      <c r="W178" s="304">
        <f t="shared" ca="1" si="62"/>
        <v>77.95730576497678</v>
      </c>
      <c r="Y178" s="314" t="str">
        <f t="shared" ca="1" si="80"/>
        <v/>
      </c>
      <c r="Z178" s="315" t="str">
        <f t="shared" ca="1" si="81"/>
        <v/>
      </c>
      <c r="AA178" s="316" t="str">
        <f t="shared" ca="1" si="82"/>
        <v/>
      </c>
      <c r="AC178" s="310" t="e">
        <f t="shared" ca="1" si="83"/>
        <v>#N/A</v>
      </c>
      <c r="AD178" s="323" t="e">
        <f t="shared" ca="1" si="84"/>
        <v>#N/A</v>
      </c>
      <c r="AE178" s="324">
        <f t="shared" ca="1" si="63"/>
        <v>109.19384535046753</v>
      </c>
      <c r="AG178" s="306">
        <f t="shared" ca="1" si="85"/>
        <v>64.513268088675488</v>
      </c>
      <c r="AH178" s="304">
        <f t="shared" ca="1" si="86"/>
        <v>74.266155752659785</v>
      </c>
    </row>
    <row r="179" spans="1:34" x14ac:dyDescent="0.25">
      <c r="A179" s="347">
        <f t="shared" ca="1" si="64"/>
        <v>0.01</v>
      </c>
      <c r="B179" s="304">
        <f t="shared" ca="1" si="65"/>
        <v>1.7500000000000013</v>
      </c>
      <c r="D179" s="306">
        <f t="shared" ca="1" si="66"/>
        <v>7.9925323446157623</v>
      </c>
      <c r="E179" s="307">
        <f t="shared" ca="1" si="67"/>
        <v>63.877171209524917</v>
      </c>
      <c r="F179" s="304">
        <f t="shared" ca="1" si="68"/>
        <v>64.375255921904412</v>
      </c>
      <c r="G179" s="306">
        <f t="shared" ca="1" si="69"/>
        <v>13.496454933012455</v>
      </c>
      <c r="H179" s="307">
        <f t="shared" ca="1" si="70"/>
        <v>124.33249877517908</v>
      </c>
      <c r="I179" s="304">
        <f t="shared" ca="1" si="71"/>
        <v>125.06288237298364</v>
      </c>
      <c r="J179" s="306">
        <f t="shared" ca="1" si="72"/>
        <v>11.25545927723781</v>
      </c>
      <c r="K179" s="307">
        <f t="shared" ca="1" si="73"/>
        <v>110.43397647965884</v>
      </c>
      <c r="L179" s="304">
        <f t="shared" ca="1" si="58"/>
        <v>111.00607426916511</v>
      </c>
      <c r="M179" s="306">
        <f t="shared" ca="1" si="74"/>
        <v>1.4626684003088539</v>
      </c>
      <c r="N179" s="304">
        <f t="shared" ca="1" si="75"/>
        <v>83.80472616484893</v>
      </c>
      <c r="P179" s="310">
        <f t="shared" ca="1" si="76"/>
        <v>7</v>
      </c>
      <c r="Q179" s="304">
        <f t="shared" ca="1" si="77"/>
        <v>939.82207792207771</v>
      </c>
      <c r="R179" s="306">
        <f t="shared" ca="1" si="78"/>
        <v>0.47078719831850757</v>
      </c>
      <c r="S179" s="307">
        <f t="shared" ca="1" si="79"/>
        <v>11.628065228248255</v>
      </c>
      <c r="T179" s="304">
        <f t="shared" ca="1" si="59"/>
        <v>114.07131988911539</v>
      </c>
      <c r="U179" s="311">
        <f t="shared" ca="1" si="60"/>
        <v>0</v>
      </c>
      <c r="V179" s="306">
        <f t="shared" ca="1" si="61"/>
        <v>1.2115461261208182</v>
      </c>
      <c r="W179" s="304">
        <f t="shared" ca="1" si="62"/>
        <v>78.756227764816941</v>
      </c>
      <c r="Y179" s="314" t="str">
        <f t="shared" ca="1" si="80"/>
        <v/>
      </c>
      <c r="Z179" s="315" t="str">
        <f t="shared" ca="1" si="81"/>
        <v/>
      </c>
      <c r="AA179" s="316" t="str">
        <f t="shared" ca="1" si="82"/>
        <v/>
      </c>
      <c r="AC179" s="310" t="e">
        <f t="shared" ca="1" si="83"/>
        <v>#N/A</v>
      </c>
      <c r="AD179" s="323" t="e">
        <f t="shared" ca="1" si="84"/>
        <v>#N/A</v>
      </c>
      <c r="AE179" s="324">
        <f t="shared" ca="1" si="63"/>
        <v>110.43397647965884</v>
      </c>
      <c r="AG179" s="306">
        <f t="shared" ca="1" si="85"/>
        <v>64.36656383949348</v>
      </c>
      <c r="AH179" s="304">
        <f t="shared" ca="1" si="86"/>
        <v>74.119361668470717</v>
      </c>
    </row>
    <row r="180" spans="1:34" x14ac:dyDescent="0.25">
      <c r="A180" s="347">
        <f t="shared" ca="1" si="64"/>
        <v>0.01</v>
      </c>
      <c r="B180" s="304">
        <f t="shared" ca="1" si="65"/>
        <v>1.7600000000000013</v>
      </c>
      <c r="D180" s="306">
        <f t="shared" ca="1" si="66"/>
        <v>7.9828868933103125</v>
      </c>
      <c r="E180" s="307">
        <f t="shared" ca="1" si="67"/>
        <v>63.730220732864765</v>
      </c>
      <c r="F180" s="304">
        <f t="shared" ca="1" si="68"/>
        <v>64.228245482895232</v>
      </c>
      <c r="G180" s="306">
        <f t="shared" ca="1" si="69"/>
        <v>13.576283801945557</v>
      </c>
      <c r="H180" s="307">
        <f t="shared" ca="1" si="70"/>
        <v>124.96980098250772</v>
      </c>
      <c r="I180" s="304">
        <f t="shared" ca="1" si="71"/>
        <v>125.7050780178691</v>
      </c>
      <c r="J180" s="306">
        <f t="shared" ca="1" si="72"/>
        <v>11.3908229709126</v>
      </c>
      <c r="K180" s="307">
        <f t="shared" ca="1" si="73"/>
        <v>111.68048797844727</v>
      </c>
      <c r="L180" s="304">
        <f t="shared" ca="1" si="58"/>
        <v>112.25988706149128</v>
      </c>
      <c r="M180" s="306">
        <f t="shared" ca="1" si="74"/>
        <v>1.4625841818168064</v>
      </c>
      <c r="N180" s="304">
        <f t="shared" ca="1" si="75"/>
        <v>83.799900800697642</v>
      </c>
      <c r="P180" s="310">
        <f t="shared" ca="1" si="76"/>
        <v>7</v>
      </c>
      <c r="Q180" s="304">
        <f t="shared" ca="1" si="77"/>
        <v>938.56233766233743</v>
      </c>
      <c r="R180" s="306">
        <f t="shared" ca="1" si="78"/>
        <v>0.4701561537820742</v>
      </c>
      <c r="S180" s="307">
        <f t="shared" ca="1" si="79"/>
        <v>11.623363666710434</v>
      </c>
      <c r="T180" s="304">
        <f t="shared" ca="1" si="59"/>
        <v>114.02519757042936</v>
      </c>
      <c r="U180" s="311">
        <f t="shared" ca="1" si="60"/>
        <v>0</v>
      </c>
      <c r="V180" s="306">
        <f t="shared" ca="1" si="61"/>
        <v>1.2113951102588991</v>
      </c>
      <c r="W180" s="304">
        <f t="shared" ca="1" si="62"/>
        <v>79.557210208156647</v>
      </c>
      <c r="Y180" s="314" t="str">
        <f t="shared" ca="1" si="80"/>
        <v/>
      </c>
      <c r="Z180" s="315" t="str">
        <f t="shared" ca="1" si="81"/>
        <v/>
      </c>
      <c r="AA180" s="316" t="str">
        <f t="shared" ca="1" si="82"/>
        <v/>
      </c>
      <c r="AC180" s="310" t="e">
        <f t="shared" ca="1" si="83"/>
        <v>#N/A</v>
      </c>
      <c r="AD180" s="323" t="e">
        <f t="shared" ca="1" si="84"/>
        <v>#N/A</v>
      </c>
      <c r="AE180" s="324">
        <f t="shared" ca="1" si="63"/>
        <v>111.68048797844727</v>
      </c>
      <c r="AG180" s="306">
        <f t="shared" ca="1" si="85"/>
        <v>64.219519908783724</v>
      </c>
      <c r="AH180" s="304">
        <f t="shared" ca="1" si="86"/>
        <v>73.972228225124184</v>
      </c>
    </row>
    <row r="181" spans="1:34" x14ac:dyDescent="0.25">
      <c r="A181" s="347">
        <f t="shared" ca="1" si="64"/>
        <v>0.01</v>
      </c>
      <c r="B181" s="304">
        <f t="shared" ca="1" si="65"/>
        <v>1.7700000000000014</v>
      </c>
      <c r="D181" s="306">
        <f t="shared" ca="1" si="66"/>
        <v>7.9731533974459925</v>
      </c>
      <c r="E181" s="307">
        <f t="shared" ca="1" si="67"/>
        <v>63.582940794228236</v>
      </c>
      <c r="F181" s="304">
        <f t="shared" ca="1" si="68"/>
        <v>64.080898364033089</v>
      </c>
      <c r="G181" s="306">
        <f t="shared" ca="1" si="69"/>
        <v>13.656015335920017</v>
      </c>
      <c r="H181" s="307">
        <f t="shared" ca="1" si="70"/>
        <v>125.60563039045</v>
      </c>
      <c r="I181" s="304">
        <f t="shared" ca="1" si="71"/>
        <v>126.34579985356545</v>
      </c>
      <c r="J181" s="306">
        <f t="shared" ca="1" si="72"/>
        <v>11.526984466601927</v>
      </c>
      <c r="K181" s="307">
        <f t="shared" ca="1" si="73"/>
        <v>112.93336513531206</v>
      </c>
      <c r="L181" s="304">
        <f t="shared" ca="1" si="58"/>
        <v>113.52011421628768</v>
      </c>
      <c r="M181" s="306">
        <f t="shared" ca="1" si="74"/>
        <v>1.4625003254031237</v>
      </c>
      <c r="N181" s="304">
        <f t="shared" ca="1" si="75"/>
        <v>83.795096182108523</v>
      </c>
      <c r="P181" s="310">
        <f t="shared" ca="1" si="76"/>
        <v>7</v>
      </c>
      <c r="Q181" s="304">
        <f t="shared" ca="1" si="77"/>
        <v>937.30259740259714</v>
      </c>
      <c r="R181" s="306">
        <f t="shared" ca="1" si="78"/>
        <v>0.46952510924564089</v>
      </c>
      <c r="S181" s="307">
        <f t="shared" ca="1" si="79"/>
        <v>11.618668415617977</v>
      </c>
      <c r="T181" s="304">
        <f t="shared" ca="1" si="59"/>
        <v>113.97913715721236</v>
      </c>
      <c r="U181" s="311">
        <f t="shared" ca="1" si="60"/>
        <v>0</v>
      </c>
      <c r="V181" s="306">
        <f t="shared" ca="1" si="61"/>
        <v>1.2112433420546636</v>
      </c>
      <c r="W181" s="304">
        <f t="shared" ca="1" si="62"/>
        <v>80.360218046073214</v>
      </c>
      <c r="Y181" s="314" t="str">
        <f t="shared" ca="1" si="80"/>
        <v/>
      </c>
      <c r="Z181" s="315" t="str">
        <f t="shared" ca="1" si="81"/>
        <v/>
      </c>
      <c r="AA181" s="316" t="str">
        <f t="shared" ca="1" si="82"/>
        <v/>
      </c>
      <c r="AC181" s="310" t="e">
        <f t="shared" ca="1" si="83"/>
        <v>#N/A</v>
      </c>
      <c r="AD181" s="323" t="e">
        <f t="shared" ca="1" si="84"/>
        <v>#N/A</v>
      </c>
      <c r="AE181" s="324">
        <f t="shared" ca="1" si="63"/>
        <v>112.93336513531206</v>
      </c>
      <c r="AG181" s="306">
        <f t="shared" ca="1" si="85"/>
        <v>64.072139147095839</v>
      </c>
      <c r="AH181" s="304">
        <f t="shared" ca="1" si="86"/>
        <v>73.824758269325173</v>
      </c>
    </row>
    <row r="182" spans="1:34" x14ac:dyDescent="0.25">
      <c r="A182" s="347">
        <f t="shared" ca="1" si="64"/>
        <v>0.01</v>
      </c>
      <c r="B182" s="304">
        <f t="shared" ca="1" si="65"/>
        <v>1.7800000000000014</v>
      </c>
      <c r="D182" s="306">
        <f t="shared" ca="1" si="66"/>
        <v>7.9633325665440138</v>
      </c>
      <c r="E182" s="307">
        <f t="shared" ca="1" si="67"/>
        <v>63.435334193392919</v>
      </c>
      <c r="F182" s="304">
        <f t="shared" ca="1" si="68"/>
        <v>63.933217420937183</v>
      </c>
      <c r="G182" s="306">
        <f t="shared" ca="1" si="69"/>
        <v>13.735648661585458</v>
      </c>
      <c r="H182" s="307">
        <f t="shared" ca="1" si="70"/>
        <v>126.23998373238393</v>
      </c>
      <c r="I182" s="304">
        <f t="shared" ca="1" si="71"/>
        <v>126.98504454032008</v>
      </c>
      <c r="J182" s="306">
        <f t="shared" ca="1" si="72"/>
        <v>11.663942786589455</v>
      </c>
      <c r="K182" s="307">
        <f t="shared" ca="1" si="73"/>
        <v>114.19259320592623</v>
      </c>
      <c r="L182" s="304">
        <f t="shared" ca="1" si="58"/>
        <v>114.78674097831588</v>
      </c>
      <c r="M182" s="306">
        <f t="shared" ca="1" si="74"/>
        <v>1.4624168267213911</v>
      </c>
      <c r="N182" s="304">
        <f t="shared" ca="1" si="75"/>
        <v>83.79031206005034</v>
      </c>
      <c r="P182" s="310">
        <f t="shared" ca="1" si="76"/>
        <v>7</v>
      </c>
      <c r="Q182" s="304">
        <f t="shared" ca="1" si="77"/>
        <v>936.04285714285697</v>
      </c>
      <c r="R182" s="306">
        <f t="shared" ca="1" si="78"/>
        <v>0.46889406470920758</v>
      </c>
      <c r="S182" s="307">
        <f t="shared" ca="1" si="79"/>
        <v>11.613979474970884</v>
      </c>
      <c r="T182" s="304">
        <f t="shared" ca="1" si="59"/>
        <v>113.93313864946438</v>
      </c>
      <c r="U182" s="311">
        <f t="shared" ca="1" si="60"/>
        <v>0</v>
      </c>
      <c r="V182" s="306">
        <f t="shared" ca="1" si="61"/>
        <v>1.2110908235785203</v>
      </c>
      <c r="W182" s="304">
        <f t="shared" ca="1" si="62"/>
        <v>81.165216258473365</v>
      </c>
      <c r="Y182" s="314" t="str">
        <f t="shared" ca="1" si="80"/>
        <v/>
      </c>
      <c r="Z182" s="315" t="str">
        <f t="shared" ca="1" si="81"/>
        <v/>
      </c>
      <c r="AA182" s="316" t="str">
        <f t="shared" ca="1" si="82"/>
        <v/>
      </c>
      <c r="AC182" s="310" t="e">
        <f t="shared" ca="1" si="83"/>
        <v>#N/A</v>
      </c>
      <c r="AD182" s="323" t="e">
        <f t="shared" ca="1" si="84"/>
        <v>#N/A</v>
      </c>
      <c r="AE182" s="324">
        <f t="shared" ca="1" si="63"/>
        <v>114.19259320592623</v>
      </c>
      <c r="AG182" s="306">
        <f t="shared" ca="1" si="85"/>
        <v>63.924424408286512</v>
      </c>
      <c r="AH182" s="304">
        <f t="shared" ca="1" si="86"/>
        <v>73.676954651147156</v>
      </c>
    </row>
    <row r="183" spans="1:34" x14ac:dyDescent="0.25">
      <c r="A183" s="347">
        <f t="shared" ca="1" si="64"/>
        <v>0.01</v>
      </c>
      <c r="B183" s="304">
        <f t="shared" ca="1" si="65"/>
        <v>1.7900000000000014</v>
      </c>
      <c r="D183" s="306">
        <f t="shared" ca="1" si="66"/>
        <v>7.9534251041299511</v>
      </c>
      <c r="E183" s="307">
        <f t="shared" ca="1" si="67"/>
        <v>63.287403733840534</v>
      </c>
      <c r="F183" s="304">
        <f t="shared" ca="1" si="68"/>
        <v>63.785205512384593</v>
      </c>
      <c r="G183" s="306">
        <f t="shared" ca="1" si="69"/>
        <v>13.815182912626756</v>
      </c>
      <c r="H183" s="307">
        <f t="shared" ca="1" si="70"/>
        <v>126.87285776972234</v>
      </c>
      <c r="I183" s="304">
        <f t="shared" ca="1" si="71"/>
        <v>127.62280876695016</v>
      </c>
      <c r="J183" s="306">
        <f t="shared" ca="1" si="72"/>
        <v>11.801696944460517</v>
      </c>
      <c r="K183" s="307">
        <f t="shared" ca="1" si="73"/>
        <v>115.45815741343677</v>
      </c>
      <c r="L183" s="304">
        <f t="shared" ca="1" si="58"/>
        <v>116.0597525590798</v>
      </c>
      <c r="M183" s="306">
        <f t="shared" ca="1" si="74"/>
        <v>1.4623336814974415</v>
      </c>
      <c r="N183" s="304">
        <f t="shared" ca="1" si="75"/>
        <v>83.785548189631356</v>
      </c>
      <c r="P183" s="310">
        <f t="shared" ca="1" si="76"/>
        <v>7</v>
      </c>
      <c r="Q183" s="304">
        <f t="shared" ca="1" si="77"/>
        <v>934.78311688311669</v>
      </c>
      <c r="R183" s="306">
        <f t="shared" ca="1" si="78"/>
        <v>0.46826302017277427</v>
      </c>
      <c r="S183" s="307">
        <f t="shared" ca="1" si="79"/>
        <v>11.609296844769156</v>
      </c>
      <c r="T183" s="304">
        <f t="shared" ca="1" si="59"/>
        <v>113.88720204718543</v>
      </c>
      <c r="U183" s="311">
        <f t="shared" ca="1" si="60"/>
        <v>0</v>
      </c>
      <c r="V183" s="306">
        <f t="shared" ca="1" si="61"/>
        <v>1.2109375569052767</v>
      </c>
      <c r="W183" s="304">
        <f t="shared" ca="1" si="62"/>
        <v>81.972169855794291</v>
      </c>
      <c r="Y183" s="314" t="str">
        <f t="shared" ca="1" si="80"/>
        <v/>
      </c>
      <c r="Z183" s="315" t="str">
        <f t="shared" ca="1" si="81"/>
        <v/>
      </c>
      <c r="AA183" s="316" t="str">
        <f t="shared" ca="1" si="82"/>
        <v/>
      </c>
      <c r="AC183" s="310" t="e">
        <f t="shared" ca="1" si="83"/>
        <v>#N/A</v>
      </c>
      <c r="AD183" s="323" t="e">
        <f t="shared" ca="1" si="84"/>
        <v>#N/A</v>
      </c>
      <c r="AE183" s="324">
        <f t="shared" ca="1" si="63"/>
        <v>115.45815741343677</v>
      </c>
      <c r="AG183" s="306">
        <f t="shared" ca="1" si="85"/>
        <v>63.776378549364836</v>
      </c>
      <c r="AH183" s="304">
        <f t="shared" ca="1" si="86"/>
        <v>73.528820223876096</v>
      </c>
    </row>
    <row r="184" spans="1:34" x14ac:dyDescent="0.25">
      <c r="A184" s="347">
        <f t="shared" ca="1" si="64"/>
        <v>0.01</v>
      </c>
      <c r="B184" s="304">
        <f t="shared" ca="1" si="65"/>
        <v>1.8000000000000014</v>
      </c>
      <c r="D184" s="306">
        <f t="shared" ca="1" si="66"/>
        <v>7.9434317078703174</v>
      </c>
      <c r="E184" s="307">
        <f t="shared" ca="1" si="67"/>
        <v>63.139152222589942</v>
      </c>
      <c r="F184" s="304">
        <f t="shared" ca="1" si="68"/>
        <v>63.636865500156311</v>
      </c>
      <c r="G184" s="306">
        <f t="shared" ca="1" si="69"/>
        <v>13.89461722970546</v>
      </c>
      <c r="H184" s="307">
        <f t="shared" ca="1" si="70"/>
        <v>127.50424929194824</v>
      </c>
      <c r="I184" s="304">
        <f t="shared" ca="1" si="71"/>
        <v>128.25908925087265</v>
      </c>
      <c r="J184" s="306">
        <f t="shared" ca="1" si="72"/>
        <v>11.940245945172178</v>
      </c>
      <c r="K184" s="307">
        <f t="shared" ca="1" si="73"/>
        <v>116.73004294874512</v>
      </c>
      <c r="L184" s="304">
        <f t="shared" ca="1" si="58"/>
        <v>117.33913413711166</v>
      </c>
      <c r="M184" s="306">
        <f t="shared" ca="1" si="74"/>
        <v>1.4622508855277312</v>
      </c>
      <c r="N184" s="304">
        <f t="shared" ca="1" si="75"/>
        <v>83.780804330006262</v>
      </c>
      <c r="P184" s="310">
        <f t="shared" ca="1" si="76"/>
        <v>7</v>
      </c>
      <c r="Q184" s="304">
        <f t="shared" ca="1" si="77"/>
        <v>933.52337662337641</v>
      </c>
      <c r="R184" s="306">
        <f t="shared" ca="1" si="78"/>
        <v>0.4676319756363409</v>
      </c>
      <c r="S184" s="307">
        <f t="shared" ca="1" si="79"/>
        <v>11.604620525012793</v>
      </c>
      <c r="T184" s="304">
        <f t="shared" ca="1" si="59"/>
        <v>113.84132735037551</v>
      </c>
      <c r="U184" s="311">
        <f t="shared" ca="1" si="60"/>
        <v>0</v>
      </c>
      <c r="V184" s="306">
        <f t="shared" ca="1" si="61"/>
        <v>1.210783544114086</v>
      </c>
      <c r="W184" s="304">
        <f t="shared" ca="1" si="62"/>
        <v>82.781043880695876</v>
      </c>
      <c r="Y184" s="314" t="str">
        <f t="shared" ca="1" si="80"/>
        <v/>
      </c>
      <c r="Z184" s="315" t="str">
        <f t="shared" ca="1" si="81"/>
        <v/>
      </c>
      <c r="AA184" s="316" t="str">
        <f t="shared" ca="1" si="82"/>
        <v/>
      </c>
      <c r="AC184" s="310" t="e">
        <f t="shared" ca="1" si="83"/>
        <v>#N/A</v>
      </c>
      <c r="AD184" s="323" t="e">
        <f t="shared" ca="1" si="84"/>
        <v>#N/A</v>
      </c>
      <c r="AE184" s="324">
        <f t="shared" ca="1" si="63"/>
        <v>116.73004294874512</v>
      </c>
      <c r="AG184" s="306">
        <f t="shared" ca="1" si="85"/>
        <v>63.628004430338045</v>
      </c>
      <c r="AH184" s="304">
        <f t="shared" ca="1" si="86"/>
        <v>73.38035784385491</v>
      </c>
    </row>
    <row r="185" spans="1:34" x14ac:dyDescent="0.25">
      <c r="A185" s="347">
        <f t="shared" ca="1" si="64"/>
        <v>0.01</v>
      </c>
      <c r="B185" s="304">
        <f t="shared" ca="1" si="65"/>
        <v>1.8100000000000014</v>
      </c>
      <c r="D185" s="306">
        <f t="shared" ca="1" si="66"/>
        <v>7.93335306970478</v>
      </c>
      <c r="E185" s="307">
        <f t="shared" ca="1" si="67"/>
        <v>62.990582470030617</v>
      </c>
      <c r="F185" s="304">
        <f t="shared" ca="1" si="68"/>
        <v>63.48820024888343</v>
      </c>
      <c r="G185" s="306">
        <f t="shared" ca="1" si="69"/>
        <v>13.973950760402507</v>
      </c>
      <c r="H185" s="307">
        <f t="shared" ca="1" si="70"/>
        <v>128.13415511664854</v>
      </c>
      <c r="I185" s="304">
        <f t="shared" ca="1" si="71"/>
        <v>128.8938827381327</v>
      </c>
      <c r="J185" s="306">
        <f t="shared" ca="1" si="72"/>
        <v>12.079588785122718</v>
      </c>
      <c r="K185" s="307">
        <f t="shared" ca="1" si="73"/>
        <v>118.00823497078811</v>
      </c>
      <c r="L185" s="304">
        <f t="shared" ca="1" si="58"/>
        <v>118.62487085825805</v>
      </c>
      <c r="M185" s="306">
        <f t="shared" ca="1" si="74"/>
        <v>1.4621684346777606</v>
      </c>
      <c r="N185" s="304">
        <f t="shared" ca="1" si="75"/>
        <v>83.77608024428568</v>
      </c>
      <c r="P185" s="310">
        <f t="shared" ca="1" si="76"/>
        <v>7</v>
      </c>
      <c r="Q185" s="304">
        <f t="shared" ca="1" si="77"/>
        <v>932.26363636363612</v>
      </c>
      <c r="R185" s="306">
        <f t="shared" ca="1" si="78"/>
        <v>0.46700093109990753</v>
      </c>
      <c r="S185" s="307">
        <f t="shared" ca="1" si="79"/>
        <v>11.599950515701794</v>
      </c>
      <c r="T185" s="304">
        <f t="shared" ca="1" si="59"/>
        <v>113.7955145590346</v>
      </c>
      <c r="U185" s="311">
        <f t="shared" ca="1" si="60"/>
        <v>0</v>
      </c>
      <c r="V185" s="306">
        <f t="shared" ca="1" si="61"/>
        <v>1.2106287872884027</v>
      </c>
      <c r="W185" s="304">
        <f t="shared" ca="1" si="62"/>
        <v>83.591803409744841</v>
      </c>
      <c r="Y185" s="314" t="str">
        <f t="shared" ca="1" si="80"/>
        <v/>
      </c>
      <c r="Z185" s="315" t="str">
        <f t="shared" ca="1" si="81"/>
        <v/>
      </c>
      <c r="AA185" s="316" t="str">
        <f t="shared" ca="1" si="82"/>
        <v/>
      </c>
      <c r="AC185" s="310" t="e">
        <f t="shared" ca="1" si="83"/>
        <v>#N/A</v>
      </c>
      <c r="AD185" s="323" t="e">
        <f t="shared" ca="1" si="84"/>
        <v>#N/A</v>
      </c>
      <c r="AE185" s="324">
        <f t="shared" ca="1" si="63"/>
        <v>118.00823497078811</v>
      </c>
      <c r="AG185" s="306">
        <f t="shared" ca="1" si="85"/>
        <v>63.479304914057565</v>
      </c>
      <c r="AH185" s="304">
        <f t="shared" ca="1" si="86"/>
        <v>73.231570370328157</v>
      </c>
    </row>
    <row r="186" spans="1:34" x14ac:dyDescent="0.25">
      <c r="A186" s="347">
        <f t="shared" ca="1" si="64"/>
        <v>0.01</v>
      </c>
      <c r="B186" s="304">
        <f t="shared" ca="1" si="65"/>
        <v>1.8200000000000014</v>
      </c>
      <c r="D186" s="306">
        <f t="shared" ca="1" si="66"/>
        <v>7.9231898759741766</v>
      </c>
      <c r="E186" s="307">
        <f t="shared" ca="1" si="67"/>
        <v>62.841697289757093</v>
      </c>
      <c r="F186" s="304">
        <f t="shared" ca="1" si="68"/>
        <v>63.33921262589395</v>
      </c>
      <c r="G186" s="306">
        <f t="shared" ca="1" si="69"/>
        <v>14.05318265916225</v>
      </c>
      <c r="H186" s="307">
        <f t="shared" ca="1" si="70"/>
        <v>128.76257208954613</v>
      </c>
      <c r="I186" s="304">
        <f t="shared" ca="1" si="71"/>
        <v>129.52718600343073</v>
      </c>
      <c r="J186" s="306">
        <f t="shared" ca="1" si="72"/>
        <v>12.219724452220541</v>
      </c>
      <c r="K186" s="307">
        <f t="shared" ca="1" si="73"/>
        <v>119.29271860681908</v>
      </c>
      <c r="L186" s="304">
        <f t="shared" ca="1" si="58"/>
        <v>119.91694783596652</v>
      </c>
      <c r="M186" s="306">
        <f t="shared" ca="1" si="74"/>
        <v>1.46208632488054</v>
      </c>
      <c r="N186" s="304">
        <f t="shared" ca="1" si="75"/>
        <v>83.771375699448271</v>
      </c>
      <c r="P186" s="310">
        <f t="shared" ca="1" si="76"/>
        <v>7</v>
      </c>
      <c r="Q186" s="304">
        <f t="shared" ca="1" si="77"/>
        <v>931.00389610389584</v>
      </c>
      <c r="R186" s="306">
        <f t="shared" ca="1" si="78"/>
        <v>0.46636988656347422</v>
      </c>
      <c r="S186" s="307">
        <f t="shared" ca="1" si="79"/>
        <v>11.595286816836159</v>
      </c>
      <c r="T186" s="304">
        <f t="shared" ca="1" si="59"/>
        <v>113.74976367316273</v>
      </c>
      <c r="U186" s="311">
        <f t="shared" ca="1" si="60"/>
        <v>0</v>
      </c>
      <c r="V186" s="306">
        <f t="shared" ca="1" si="61"/>
        <v>1.2104732885159324</v>
      </c>
      <c r="W186" s="304">
        <f t="shared" ca="1" si="62"/>
        <v>84.404413555090017</v>
      </c>
      <c r="Y186" s="314" t="str">
        <f t="shared" ca="1" si="80"/>
        <v/>
      </c>
      <c r="Z186" s="315" t="str">
        <f t="shared" ca="1" si="81"/>
        <v/>
      </c>
      <c r="AA186" s="316" t="str">
        <f t="shared" ca="1" si="82"/>
        <v/>
      </c>
      <c r="AC186" s="310" t="e">
        <f t="shared" ca="1" si="83"/>
        <v>#N/A</v>
      </c>
      <c r="AD186" s="323" t="e">
        <f t="shared" ca="1" si="84"/>
        <v>#N/A</v>
      </c>
      <c r="AE186" s="324">
        <f t="shared" ca="1" si="63"/>
        <v>119.29271860681908</v>
      </c>
      <c r="AG186" s="306">
        <f t="shared" ca="1" si="85"/>
        <v>63.330282866065261</v>
      </c>
      <c r="AH186" s="304">
        <f t="shared" ca="1" si="86"/>
        <v>73.082460665287115</v>
      </c>
    </row>
    <row r="187" spans="1:34" x14ac:dyDescent="0.25">
      <c r="A187" s="347">
        <f t="shared" ca="1" si="64"/>
        <v>0.01</v>
      </c>
      <c r="B187" s="304">
        <f t="shared" ca="1" si="65"/>
        <v>1.8300000000000014</v>
      </c>
      <c r="D187" s="306">
        <f t="shared" ca="1" si="66"/>
        <v>7.9129428075443773</v>
      </c>
      <c r="E187" s="307">
        <f t="shared" ca="1" si="67"/>
        <v>62.692499498403862</v>
      </c>
      <c r="F187" s="304">
        <f t="shared" ca="1" si="68"/>
        <v>63.189905501059556</v>
      </c>
      <c r="G187" s="306">
        <f t="shared" ca="1" si="69"/>
        <v>14.132312087237693</v>
      </c>
      <c r="H187" s="307">
        <f t="shared" ca="1" si="70"/>
        <v>129.38949708453018</v>
      </c>
      <c r="I187" s="304">
        <f t="shared" ca="1" si="71"/>
        <v>130.15899585014753</v>
      </c>
      <c r="J187" s="306">
        <f t="shared" ca="1" si="72"/>
        <v>12.36065192595254</v>
      </c>
      <c r="K187" s="307">
        <f t="shared" ca="1" si="73"/>
        <v>120.58347895268946</v>
      </c>
      <c r="L187" s="304">
        <f t="shared" ca="1" si="58"/>
        <v>121.21535015157221</v>
      </c>
      <c r="M187" s="306">
        <f t="shared" ca="1" si="74"/>
        <v>1.4620045521350971</v>
      </c>
      <c r="N187" s="304">
        <f t="shared" ca="1" si="75"/>
        <v>83.766690466255184</v>
      </c>
      <c r="P187" s="310">
        <f t="shared" ca="1" si="76"/>
        <v>7</v>
      </c>
      <c r="Q187" s="304">
        <f t="shared" ca="1" si="77"/>
        <v>929.74415584415556</v>
      </c>
      <c r="R187" s="306">
        <f t="shared" ca="1" si="78"/>
        <v>0.46573884202704086</v>
      </c>
      <c r="S187" s="307">
        <f t="shared" ca="1" si="79"/>
        <v>11.590629428415889</v>
      </c>
      <c r="T187" s="304">
        <f t="shared" ca="1" si="59"/>
        <v>113.70407469275987</v>
      </c>
      <c r="U187" s="311">
        <f t="shared" ca="1" si="60"/>
        <v>0</v>
      </c>
      <c r="V187" s="306">
        <f t="shared" ca="1" si="61"/>
        <v>1.210317049888582</v>
      </c>
      <c r="W187" s="304">
        <f t="shared" ca="1" si="62"/>
        <v>85.218839466128159</v>
      </c>
      <c r="Y187" s="314" t="str">
        <f t="shared" ca="1" si="80"/>
        <v/>
      </c>
      <c r="Z187" s="315" t="str">
        <f t="shared" ca="1" si="81"/>
        <v/>
      </c>
      <c r="AA187" s="316" t="str">
        <f t="shared" ca="1" si="82"/>
        <v/>
      </c>
      <c r="AC187" s="310" t="e">
        <f t="shared" ca="1" si="83"/>
        <v>#N/A</v>
      </c>
      <c r="AD187" s="323" t="e">
        <f t="shared" ca="1" si="84"/>
        <v>#N/A</v>
      </c>
      <c r="AE187" s="324">
        <f t="shared" ca="1" si="63"/>
        <v>120.58347895268946</v>
      </c>
      <c r="AG187" s="306">
        <f t="shared" ca="1" si="85"/>
        <v>63.180941154440191</v>
      </c>
      <c r="AH187" s="304">
        <f t="shared" ca="1" si="86"/>
        <v>72.933031593315249</v>
      </c>
    </row>
    <row r="188" spans="1:34" x14ac:dyDescent="0.25">
      <c r="A188" s="347">
        <f t="shared" ca="1" si="64"/>
        <v>0.01</v>
      </c>
      <c r="B188" s="304">
        <f t="shared" ca="1" si="65"/>
        <v>1.8400000000000014</v>
      </c>
      <c r="D188" s="306">
        <f t="shared" ca="1" si="66"/>
        <v>7.9026125399262757</v>
      </c>
      <c r="E188" s="307">
        <f t="shared" ca="1" si="67"/>
        <v>62.542991915480982</v>
      </c>
      <c r="F188" s="304">
        <f t="shared" ca="1" si="68"/>
        <v>63.040281746642911</v>
      </c>
      <c r="G188" s="306">
        <f t="shared" ca="1" si="69"/>
        <v>14.211338212636957</v>
      </c>
      <c r="H188" s="307">
        <f t="shared" ca="1" si="70"/>
        <v>130.01492700368499</v>
      </c>
      <c r="I188" s="304">
        <f t="shared" ca="1" si="71"/>
        <v>130.78930911036841</v>
      </c>
      <c r="J188" s="306">
        <f t="shared" ca="1" si="72"/>
        <v>12.502370177451914</v>
      </c>
      <c r="K188" s="307">
        <f t="shared" ca="1" si="73"/>
        <v>121.88050107313053</v>
      </c>
      <c r="L188" s="304">
        <f t="shared" ca="1" si="58"/>
        <v>122.52006285458481</v>
      </c>
      <c r="M188" s="306">
        <f t="shared" ca="1" si="74"/>
        <v>1.461923112505026</v>
      </c>
      <c r="N188" s="304">
        <f t="shared" ca="1" si="75"/>
        <v>83.762024319167011</v>
      </c>
      <c r="P188" s="310">
        <f t="shared" ca="1" si="76"/>
        <v>7</v>
      </c>
      <c r="Q188" s="304">
        <f t="shared" ca="1" si="77"/>
        <v>928.48441558441539</v>
      </c>
      <c r="R188" s="306">
        <f t="shared" ca="1" si="78"/>
        <v>0.4651077974906076</v>
      </c>
      <c r="S188" s="307">
        <f t="shared" ca="1" si="79"/>
        <v>11.585978350440984</v>
      </c>
      <c r="T188" s="304">
        <f t="shared" ca="1" si="59"/>
        <v>113.65844761782606</v>
      </c>
      <c r="U188" s="311">
        <f t="shared" ca="1" si="60"/>
        <v>0</v>
      </c>
      <c r="V188" s="306">
        <f t="shared" ca="1" si="61"/>
        <v>1.2101600735024123</v>
      </c>
      <c r="W188" s="304">
        <f t="shared" ca="1" si="62"/>
        <v>86.035046331161908</v>
      </c>
      <c r="Y188" s="314" t="str">
        <f t="shared" ca="1" si="80"/>
        <v/>
      </c>
      <c r="Z188" s="315" t="str">
        <f t="shared" ca="1" si="81"/>
        <v/>
      </c>
      <c r="AA188" s="316" t="str">
        <f t="shared" ca="1" si="82"/>
        <v/>
      </c>
      <c r="AC188" s="310" t="e">
        <f t="shared" ca="1" si="83"/>
        <v>#N/A</v>
      </c>
      <c r="AD188" s="323" t="e">
        <f t="shared" ca="1" si="84"/>
        <v>#N/A</v>
      </c>
      <c r="AE188" s="324">
        <f t="shared" ca="1" si="63"/>
        <v>121.88050107313053</v>
      </c>
      <c r="AG188" s="306">
        <f t="shared" ca="1" si="85"/>
        <v>63.031282649645433</v>
      </c>
      <c r="AH188" s="304">
        <f t="shared" ca="1" si="86"/>
        <v>72.783286021433909</v>
      </c>
    </row>
    <row r="189" spans="1:34" x14ac:dyDescent="0.25">
      <c r="A189" s="347">
        <f t="shared" ca="1" si="64"/>
        <v>0.01</v>
      </c>
      <c r="B189" s="304">
        <f t="shared" ca="1" si="65"/>
        <v>1.8500000000000014</v>
      </c>
      <c r="D189" s="306">
        <f t="shared" ca="1" si="66"/>
        <v>7.8921997433918891</v>
      </c>
      <c r="E189" s="307">
        <f t="shared" ca="1" si="67"/>
        <v>62.393177363210526</v>
      </c>
      <c r="F189" s="304">
        <f t="shared" ca="1" si="68"/>
        <v>62.890344237145349</v>
      </c>
      <c r="G189" s="306">
        <f t="shared" ca="1" si="69"/>
        <v>14.290260210070876</v>
      </c>
      <c r="H189" s="307">
        <f t="shared" ca="1" si="70"/>
        <v>130.6388587773171</v>
      </c>
      <c r="I189" s="304">
        <f t="shared" ca="1" si="71"/>
        <v>131.41812264490517</v>
      </c>
      <c r="J189" s="306">
        <f t="shared" ca="1" si="72"/>
        <v>12.644878169565454</v>
      </c>
      <c r="K189" s="307">
        <f t="shared" ca="1" si="73"/>
        <v>123.18377000203554</v>
      </c>
      <c r="L189" s="304">
        <f t="shared" ca="1" si="58"/>
        <v>123.83107096297579</v>
      </c>
      <c r="M189" s="306">
        <f t="shared" ca="1" si="74"/>
        <v>1.4618420021170773</v>
      </c>
      <c r="N189" s="304">
        <f t="shared" ca="1" si="75"/>
        <v>83.757377036262881</v>
      </c>
      <c r="P189" s="310">
        <f t="shared" ca="1" si="76"/>
        <v>7</v>
      </c>
      <c r="Q189" s="304">
        <f t="shared" ca="1" si="77"/>
        <v>927.2246753246751</v>
      </c>
      <c r="R189" s="306">
        <f t="shared" ca="1" si="78"/>
        <v>0.46447675295417423</v>
      </c>
      <c r="S189" s="307">
        <f t="shared" ca="1" si="79"/>
        <v>11.581333582911443</v>
      </c>
      <c r="T189" s="304">
        <f t="shared" ca="1" si="59"/>
        <v>113.61288244836126</v>
      </c>
      <c r="U189" s="311">
        <f t="shared" ca="1" si="60"/>
        <v>0</v>
      </c>
      <c r="V189" s="306">
        <f t="shared" ca="1" si="61"/>
        <v>1.2100023614575897</v>
      </c>
      <c r="W189" s="304">
        <f t="shared" ca="1" si="62"/>
        <v>86.852999379047461</v>
      </c>
      <c r="Y189" s="314" t="str">
        <f t="shared" ca="1" si="80"/>
        <v/>
      </c>
      <c r="Z189" s="315" t="str">
        <f t="shared" ca="1" si="81"/>
        <v/>
      </c>
      <c r="AA189" s="316" t="str">
        <f t="shared" ca="1" si="82"/>
        <v/>
      </c>
      <c r="AC189" s="310" t="e">
        <f t="shared" ca="1" si="83"/>
        <v>#N/A</v>
      </c>
      <c r="AD189" s="323" t="e">
        <f t="shared" ca="1" si="84"/>
        <v>#N/A</v>
      </c>
      <c r="AE189" s="324">
        <f t="shared" ca="1" si="63"/>
        <v>123.18377000203554</v>
      </c>
      <c r="AG189" s="306">
        <f t="shared" ca="1" si="85"/>
        <v>62.881310224375504</v>
      </c>
      <c r="AH189" s="304">
        <f t="shared" ca="1" si="86"/>
        <v>72.633226818948586</v>
      </c>
    </row>
    <row r="190" spans="1:34" x14ac:dyDescent="0.25">
      <c r="A190" s="347">
        <f t="shared" ca="1" si="64"/>
        <v>0.01</v>
      </c>
      <c r="B190" s="304">
        <f t="shared" ca="1" si="65"/>
        <v>1.8600000000000014</v>
      </c>
      <c r="D190" s="306">
        <f t="shared" ca="1" si="66"/>
        <v>7.8817050830867883</v>
      </c>
      <c r="E190" s="307">
        <f t="shared" ca="1" si="67"/>
        <v>62.24305866636351</v>
      </c>
      <c r="F190" s="304">
        <f t="shared" ca="1" si="68"/>
        <v>62.740095849154756</v>
      </c>
      <c r="G190" s="306">
        <f t="shared" ca="1" si="69"/>
        <v>14.369077260901744</v>
      </c>
      <c r="H190" s="307">
        <f t="shared" ca="1" si="70"/>
        <v>131.26128936398072</v>
      </c>
      <c r="I190" s="304">
        <f t="shared" ca="1" si="71"/>
        <v>132.04543334331726</v>
      </c>
      <c r="J190" s="306">
        <f t="shared" ca="1" si="72"/>
        <v>12.788174856920316</v>
      </c>
      <c r="K190" s="307">
        <f t="shared" ca="1" si="73"/>
        <v>124.49327074274203</v>
      </c>
      <c r="L190" s="304">
        <f t="shared" ca="1" si="58"/>
        <v>125.14835946346575</v>
      </c>
      <c r="M190" s="306">
        <f t="shared" ca="1" si="74"/>
        <v>1.4617612171597836</v>
      </c>
      <c r="N190" s="304">
        <f t="shared" ca="1" si="75"/>
        <v>83.752748399161803</v>
      </c>
      <c r="P190" s="310">
        <f t="shared" ca="1" si="76"/>
        <v>7</v>
      </c>
      <c r="Q190" s="304">
        <f t="shared" ca="1" si="77"/>
        <v>925.96493506493482</v>
      </c>
      <c r="R190" s="306">
        <f t="shared" ca="1" si="78"/>
        <v>0.46384570841774092</v>
      </c>
      <c r="S190" s="307">
        <f t="shared" ca="1" si="79"/>
        <v>11.576695125827266</v>
      </c>
      <c r="T190" s="304">
        <f t="shared" ca="1" si="59"/>
        <v>113.56737918436548</v>
      </c>
      <c r="U190" s="311">
        <f t="shared" ca="1" si="60"/>
        <v>0</v>
      </c>
      <c r="V190" s="306">
        <f t="shared" ca="1" si="61"/>
        <v>1.2098439158583363</v>
      </c>
      <c r="W190" s="304">
        <f t="shared" ca="1" si="62"/>
        <v>87.672663880834108</v>
      </c>
      <c r="Y190" s="314" t="str">
        <f t="shared" ca="1" si="80"/>
        <v/>
      </c>
      <c r="Z190" s="315" t="str">
        <f t="shared" ca="1" si="81"/>
        <v/>
      </c>
      <c r="AA190" s="316" t="str">
        <f t="shared" ca="1" si="82"/>
        <v/>
      </c>
      <c r="AC190" s="310" t="e">
        <f t="shared" ca="1" si="83"/>
        <v>#N/A</v>
      </c>
      <c r="AD190" s="323" t="e">
        <f t="shared" ca="1" si="84"/>
        <v>#N/A</v>
      </c>
      <c r="AE190" s="324">
        <f t="shared" ca="1" si="63"/>
        <v>124.49327074274203</v>
      </c>
      <c r="AG190" s="306">
        <f t="shared" ca="1" si="85"/>
        <v>62.731026753404009</v>
      </c>
      <c r="AH190" s="304">
        <f t="shared" ca="1" si="86"/>
        <v>72.482856857295431</v>
      </c>
    </row>
    <row r="191" spans="1:34" x14ac:dyDescent="0.25">
      <c r="A191" s="347">
        <f t="shared" ca="1" si="64"/>
        <v>0.01</v>
      </c>
      <c r="B191" s="304">
        <f t="shared" ca="1" si="65"/>
        <v>1.8700000000000014</v>
      </c>
      <c r="D191" s="306">
        <f t="shared" ca="1" si="66"/>
        <v>7.8711292191390427</v>
      </c>
      <c r="E191" s="307">
        <f t="shared" ca="1" si="67"/>
        <v>62.092638652097762</v>
      </c>
      <c r="F191" s="304">
        <f t="shared" ca="1" si="68"/>
        <v>62.589539461194072</v>
      </c>
      <c r="G191" s="306">
        <f t="shared" ca="1" si="69"/>
        <v>14.447788553093135</v>
      </c>
      <c r="H191" s="307">
        <f t="shared" ca="1" si="70"/>
        <v>131.8822157505017</v>
      </c>
      <c r="I191" s="304">
        <f t="shared" ca="1" si="71"/>
        <v>132.67123812393086</v>
      </c>
      <c r="J191" s="306">
        <f t="shared" ca="1" si="72"/>
        <v>12.93225918599029</v>
      </c>
      <c r="K191" s="307">
        <f t="shared" ca="1" si="73"/>
        <v>125.80898826831444</v>
      </c>
      <c r="L191" s="304">
        <f t="shared" ca="1" si="58"/>
        <v>126.47191331181209</v>
      </c>
      <c r="M191" s="306">
        <f t="shared" ca="1" si="74"/>
        <v>1.4616807538821261</v>
      </c>
      <c r="N191" s="304">
        <f t="shared" ca="1" si="75"/>
        <v>83.748138192946243</v>
      </c>
      <c r="P191" s="310">
        <f t="shared" ca="1" si="76"/>
        <v>7</v>
      </c>
      <c r="Q191" s="304">
        <f t="shared" ca="1" si="77"/>
        <v>924.70519480519454</v>
      </c>
      <c r="R191" s="306">
        <f t="shared" ca="1" si="78"/>
        <v>0.46321466388130755</v>
      </c>
      <c r="S191" s="307">
        <f t="shared" ca="1" si="79"/>
        <v>11.572062979188452</v>
      </c>
      <c r="T191" s="304">
        <f t="shared" ca="1" si="59"/>
        <v>113.52193782583872</v>
      </c>
      <c r="U191" s="311">
        <f t="shared" ca="1" si="60"/>
        <v>0</v>
      </c>
      <c r="V191" s="306">
        <f t="shared" ca="1" si="61"/>
        <v>1.2096847388128822</v>
      </c>
      <c r="W191" s="304">
        <f t="shared" ca="1" si="62"/>
        <v>88.494005151393623</v>
      </c>
      <c r="Y191" s="314" t="str">
        <f t="shared" ca="1" si="80"/>
        <v/>
      </c>
      <c r="Z191" s="315" t="str">
        <f t="shared" ca="1" si="81"/>
        <v/>
      </c>
      <c r="AA191" s="316" t="str">
        <f t="shared" ca="1" si="82"/>
        <v/>
      </c>
      <c r="AC191" s="310" t="e">
        <f t="shared" ca="1" si="83"/>
        <v>#N/A</v>
      </c>
      <c r="AD191" s="323" t="e">
        <f t="shared" ca="1" si="84"/>
        <v>#N/A</v>
      </c>
      <c r="AE191" s="324">
        <f t="shared" ca="1" si="63"/>
        <v>125.80898826831444</v>
      </c>
      <c r="AG191" s="306">
        <f t="shared" ca="1" si="85"/>
        <v>62.580435113431783</v>
      </c>
      <c r="AH191" s="304">
        <f t="shared" ca="1" si="86"/>
        <v>72.332179009888307</v>
      </c>
    </row>
    <row r="192" spans="1:34" x14ac:dyDescent="0.25">
      <c r="A192" s="347">
        <f t="shared" ca="1" si="64"/>
        <v>0.01</v>
      </c>
      <c r="B192" s="304">
        <f t="shared" ca="1" si="65"/>
        <v>1.8800000000000014</v>
      </c>
      <c r="D192" s="306">
        <f t="shared" ca="1" si="66"/>
        <v>7.8604728067645713</v>
      </c>
      <c r="E192" s="307">
        <f t="shared" ca="1" si="67"/>
        <v>61.941920149796161</v>
      </c>
      <c r="F192" s="304">
        <f t="shared" ca="1" si="68"/>
        <v>62.438677953569844</v>
      </c>
      <c r="G192" s="306">
        <f t="shared" ca="1" si="69"/>
        <v>14.526393281160781</v>
      </c>
      <c r="H192" s="307">
        <f t="shared" ca="1" si="70"/>
        <v>132.50163495199965</v>
      </c>
      <c r="I192" s="304">
        <f t="shared" ca="1" si="71"/>
        <v>133.29553393385663</v>
      </c>
      <c r="J192" s="306">
        <f t="shared" ca="1" si="72"/>
        <v>13.077130095161559</v>
      </c>
      <c r="K192" s="307">
        <f t="shared" ca="1" si="73"/>
        <v>127.13090752182694</v>
      </c>
      <c r="L192" s="304">
        <f t="shared" ca="1" si="58"/>
        <v>127.8017174330967</v>
      </c>
      <c r="M192" s="306">
        <f t="shared" ca="1" si="74"/>
        <v>1.461600608592234</v>
      </c>
      <c r="N192" s="304">
        <f t="shared" ca="1" si="75"/>
        <v>83.743546206087572</v>
      </c>
      <c r="P192" s="310">
        <f t="shared" ca="1" si="76"/>
        <v>7</v>
      </c>
      <c r="Q192" s="304">
        <f t="shared" ca="1" si="77"/>
        <v>923.44545454545437</v>
      </c>
      <c r="R192" s="306">
        <f t="shared" ca="1" si="78"/>
        <v>0.4625836193448743</v>
      </c>
      <c r="S192" s="307">
        <f t="shared" ca="1" si="79"/>
        <v>11.567437142995002</v>
      </c>
      <c r="T192" s="304">
        <f t="shared" ca="1" si="59"/>
        <v>113.47655837278099</v>
      </c>
      <c r="U192" s="311">
        <f t="shared" ca="1" si="60"/>
        <v>0</v>
      </c>
      <c r="V192" s="306">
        <f t="shared" ca="1" si="61"/>
        <v>1.2095248324334158</v>
      </c>
      <c r="W192" s="304">
        <f t="shared" ca="1" si="62"/>
        <v>89.316988551040453</v>
      </c>
      <c r="Y192" s="314" t="str">
        <f t="shared" ca="1" si="80"/>
        <v/>
      </c>
      <c r="Z192" s="315" t="str">
        <f t="shared" ca="1" si="81"/>
        <v/>
      </c>
      <c r="AA192" s="316" t="str">
        <f t="shared" ca="1" si="82"/>
        <v/>
      </c>
      <c r="AC192" s="310" t="e">
        <f t="shared" ca="1" si="83"/>
        <v>#N/A</v>
      </c>
      <c r="AD192" s="323" t="e">
        <f t="shared" ca="1" si="84"/>
        <v>#N/A</v>
      </c>
      <c r="AE192" s="324">
        <f t="shared" ca="1" si="63"/>
        <v>127.13090752182694</v>
      </c>
      <c r="AG192" s="306">
        <f t="shared" ca="1" si="85"/>
        <v>62.429538182935254</v>
      </c>
      <c r="AH192" s="304">
        <f t="shared" ca="1" si="86"/>
        <v>72.18119615196612</v>
      </c>
    </row>
    <row r="193" spans="1:34" x14ac:dyDescent="0.25">
      <c r="A193" s="347">
        <f t="shared" ca="1" si="64"/>
        <v>0.01</v>
      </c>
      <c r="B193" s="304">
        <f t="shared" ca="1" si="65"/>
        <v>1.8900000000000015</v>
      </c>
      <c r="D193" s="306">
        <f t="shared" ca="1" si="66"/>
        <v>7.849736496369343</v>
      </c>
      <c r="E193" s="307">
        <f t="shared" ca="1" si="67"/>
        <v>61.79090599090587</v>
      </c>
      <c r="F193" s="304">
        <f t="shared" ca="1" si="68"/>
        <v>62.287514208221531</v>
      </c>
      <c r="G193" s="306">
        <f t="shared" ca="1" si="69"/>
        <v>14.604890646124474</v>
      </c>
      <c r="H193" s="307">
        <f t="shared" ca="1" si="70"/>
        <v>133.11954401190872</v>
      </c>
      <c r="I193" s="304">
        <f t="shared" ca="1" si="71"/>
        <v>133.91831774900606</v>
      </c>
      <c r="J193" s="306">
        <f t="shared" ca="1" si="72"/>
        <v>13.222786514797985</v>
      </c>
      <c r="K193" s="307">
        <f t="shared" ca="1" si="73"/>
        <v>128.45901341664648</v>
      </c>
      <c r="L193" s="304">
        <f t="shared" ca="1" si="58"/>
        <v>129.13775672201405</v>
      </c>
      <c r="M193" s="306">
        <f t="shared" ca="1" si="74"/>
        <v>1.4615207776561208</v>
      </c>
      <c r="N193" s="304">
        <f t="shared" ca="1" si="75"/>
        <v>83.738972230373705</v>
      </c>
      <c r="P193" s="310">
        <f t="shared" ca="1" si="76"/>
        <v>7</v>
      </c>
      <c r="Q193" s="304">
        <f t="shared" ca="1" si="77"/>
        <v>922.18571428571408</v>
      </c>
      <c r="R193" s="306">
        <f t="shared" ca="1" si="78"/>
        <v>0.46195257480844093</v>
      </c>
      <c r="S193" s="307">
        <f t="shared" ca="1" si="79"/>
        <v>11.562817617246917</v>
      </c>
      <c r="T193" s="304">
        <f t="shared" ca="1" si="59"/>
        <v>113.43124082519226</v>
      </c>
      <c r="U193" s="311">
        <f t="shared" ca="1" si="60"/>
        <v>0</v>
      </c>
      <c r="V193" s="306">
        <f t="shared" ca="1" si="61"/>
        <v>1.209364198836036</v>
      </c>
      <c r="W193" s="304">
        <f t="shared" ca="1" si="62"/>
        <v>90.141579487142693</v>
      </c>
      <c r="Y193" s="314" t="str">
        <f t="shared" ca="1" si="80"/>
        <v/>
      </c>
      <c r="Z193" s="315" t="str">
        <f t="shared" ca="1" si="81"/>
        <v/>
      </c>
      <c r="AA193" s="316" t="str">
        <f t="shared" ca="1" si="82"/>
        <v/>
      </c>
      <c r="AC193" s="310" t="e">
        <f t="shared" ca="1" si="83"/>
        <v>#N/A</v>
      </c>
      <c r="AD193" s="323" t="e">
        <f t="shared" ca="1" si="84"/>
        <v>#N/A</v>
      </c>
      <c r="AE193" s="324">
        <f t="shared" ca="1" si="63"/>
        <v>128.45901341664648</v>
      </c>
      <c r="AG193" s="306">
        <f t="shared" ca="1" si="85"/>
        <v>62.278338842015359</v>
      </c>
      <c r="AH193" s="304">
        <f t="shared" ca="1" si="86"/>
        <v>72.029911160440662</v>
      </c>
    </row>
    <row r="194" spans="1:34" x14ac:dyDescent="0.25">
      <c r="A194" s="347">
        <f t="shared" ca="1" si="64"/>
        <v>0.01</v>
      </c>
      <c r="B194" s="304">
        <f t="shared" ca="1" si="65"/>
        <v>1.9000000000000015</v>
      </c>
      <c r="D194" s="306">
        <f t="shared" ca="1" si="66"/>
        <v>7.838920933648164</v>
      </c>
      <c r="E194" s="307">
        <f t="shared" ca="1" si="67"/>
        <v>61.639599008778234</v>
      </c>
      <c r="F194" s="304">
        <f t="shared" ca="1" si="68"/>
        <v>62.136051108571117</v>
      </c>
      <c r="G194" s="306">
        <f t="shared" ca="1" si="69"/>
        <v>14.683279855460956</v>
      </c>
      <c r="H194" s="307">
        <f t="shared" ca="1" si="70"/>
        <v>133.73594000199651</v>
      </c>
      <c r="I194" s="304">
        <f t="shared" ca="1" si="71"/>
        <v>134.53958657410612</v>
      </c>
      <c r="J194" s="306">
        <f t="shared" ca="1" si="72"/>
        <v>13.369227367305912</v>
      </c>
      <c r="K194" s="307">
        <f t="shared" ca="1" si="73"/>
        <v>129.79329083671601</v>
      </c>
      <c r="L194" s="304">
        <f t="shared" ca="1" si="58"/>
        <v>130.48001604315917</v>
      </c>
      <c r="M194" s="306">
        <f t="shared" ca="1" si="74"/>
        <v>1.4614412574964535</v>
      </c>
      <c r="N194" s="304">
        <f t="shared" ca="1" si="75"/>
        <v>83.734416060838569</v>
      </c>
      <c r="P194" s="310">
        <f t="shared" ca="1" si="76"/>
        <v>7</v>
      </c>
      <c r="Q194" s="304">
        <f t="shared" ca="1" si="77"/>
        <v>920.9259740259738</v>
      </c>
      <c r="R194" s="306">
        <f t="shared" ca="1" si="78"/>
        <v>0.46132153027200762</v>
      </c>
      <c r="S194" s="307">
        <f t="shared" ca="1" si="79"/>
        <v>11.558204401944197</v>
      </c>
      <c r="T194" s="304">
        <f t="shared" ca="1" si="59"/>
        <v>113.38598518307258</v>
      </c>
      <c r="U194" s="311">
        <f t="shared" ca="1" si="60"/>
        <v>0</v>
      </c>
      <c r="V194" s="306">
        <f t="shared" ca="1" si="61"/>
        <v>1.2092028401407031</v>
      </c>
      <c r="W194" s="304">
        <f t="shared" ca="1" si="62"/>
        <v>90.967743415722822</v>
      </c>
      <c r="Y194" s="314" t="str">
        <f t="shared" ca="1" si="80"/>
        <v/>
      </c>
      <c r="Z194" s="315" t="str">
        <f t="shared" ca="1" si="81"/>
        <v/>
      </c>
      <c r="AA194" s="316" t="str">
        <f t="shared" ca="1" si="82"/>
        <v/>
      </c>
      <c r="AC194" s="310" t="e">
        <f t="shared" ca="1" si="83"/>
        <v>#N/A</v>
      </c>
      <c r="AD194" s="323" t="e">
        <f t="shared" ca="1" si="84"/>
        <v>#N/A</v>
      </c>
      <c r="AE194" s="324">
        <f t="shared" ca="1" si="63"/>
        <v>129.79329083671601</v>
      </c>
      <c r="AG194" s="306">
        <f t="shared" ca="1" si="85"/>
        <v>62.12683997224687</v>
      </c>
      <c r="AH194" s="304">
        <f t="shared" ca="1" si="86"/>
        <v>71.878326913744957</v>
      </c>
    </row>
    <row r="195" spans="1:34" x14ac:dyDescent="0.25">
      <c r="A195" s="347">
        <f t="shared" ca="1" si="64"/>
        <v>0.01</v>
      </c>
      <c r="B195" s="304">
        <f t="shared" ca="1" si="65"/>
        <v>1.9100000000000015</v>
      </c>
      <c r="D195" s="306">
        <f t="shared" ca="1" si="66"/>
        <v>7.8280267596805233</v>
      </c>
      <c r="E195" s="307">
        <f t="shared" ca="1" si="67"/>
        <v>61.488002038509222</v>
      </c>
      <c r="F195" s="304">
        <f t="shared" ca="1" si="68"/>
        <v>61.984291539373011</v>
      </c>
      <c r="G195" s="306">
        <f t="shared" ca="1" si="69"/>
        <v>14.761560123057761</v>
      </c>
      <c r="H195" s="307">
        <f t="shared" ca="1" si="70"/>
        <v>134.35082002238161</v>
      </c>
      <c r="I195" s="304">
        <f t="shared" ca="1" si="71"/>
        <v>135.15933744271248</v>
      </c>
      <c r="J195" s="306">
        <f t="shared" ca="1" si="72"/>
        <v>13.516451567198505</v>
      </c>
      <c r="K195" s="307">
        <f t="shared" ca="1" si="73"/>
        <v>131.13372463683791</v>
      </c>
      <c r="L195" s="304">
        <f t="shared" ca="1" si="58"/>
        <v>131.82848023131592</v>
      </c>
      <c r="M195" s="306">
        <f t="shared" ca="1" si="74"/>
        <v>1.4613620445913553</v>
      </c>
      <c r="N195" s="304">
        <f t="shared" ca="1" si="75"/>
        <v>83.729877495693472</v>
      </c>
      <c r="P195" s="310">
        <f t="shared" ca="1" si="76"/>
        <v>7</v>
      </c>
      <c r="Q195" s="304">
        <f t="shared" ca="1" si="77"/>
        <v>919.66623376623352</v>
      </c>
      <c r="R195" s="306">
        <f t="shared" ca="1" si="78"/>
        <v>0.46069048573557425</v>
      </c>
      <c r="S195" s="307">
        <f t="shared" ca="1" si="79"/>
        <v>11.553597497086841</v>
      </c>
      <c r="T195" s="304">
        <f t="shared" ca="1" si="59"/>
        <v>113.34079144642192</v>
      </c>
      <c r="U195" s="311">
        <f t="shared" ca="1" si="60"/>
        <v>0</v>
      </c>
      <c r="V195" s="306">
        <f t="shared" ca="1" si="61"/>
        <v>1.20904075847119</v>
      </c>
      <c r="W195" s="304">
        <f t="shared" ca="1" si="62"/>
        <v>91.795445843048896</v>
      </c>
      <c r="Y195" s="314" t="str">
        <f t="shared" ca="1" si="80"/>
        <v/>
      </c>
      <c r="Z195" s="315" t="str">
        <f t="shared" ca="1" si="81"/>
        <v/>
      </c>
      <c r="AA195" s="316" t="str">
        <f t="shared" ca="1" si="82"/>
        <v/>
      </c>
      <c r="AC195" s="310" t="e">
        <f t="shared" ca="1" si="83"/>
        <v>#N/A</v>
      </c>
      <c r="AD195" s="323" t="e">
        <f t="shared" ca="1" si="84"/>
        <v>#N/A</v>
      </c>
      <c r="AE195" s="324">
        <f t="shared" ca="1" si="63"/>
        <v>131.13372463683791</v>
      </c>
      <c r="AG195" s="306">
        <f t="shared" ca="1" si="85"/>
        <v>61.975044456528082</v>
      </c>
      <c r="AH195" s="304">
        <f t="shared" ca="1" si="86"/>
        <v>71.726446291681981</v>
      </c>
    </row>
    <row r="196" spans="1:34" x14ac:dyDescent="0.25">
      <c r="A196" s="347">
        <f t="shared" ca="1" si="64"/>
        <v>0.01</v>
      </c>
      <c r="B196" s="304">
        <f t="shared" ca="1" si="65"/>
        <v>1.9200000000000015</v>
      </c>
      <c r="D196" s="306">
        <f t="shared" ca="1" si="66"/>
        <v>7.8170546110232646</v>
      </c>
      <c r="E196" s="307">
        <f t="shared" ca="1" si="67"/>
        <v>61.336117916780665</v>
      </c>
      <c r="F196" s="304">
        <f t="shared" ca="1" si="68"/>
        <v>61.832238386564512</v>
      </c>
      <c r="G196" s="306">
        <f t="shared" ca="1" si="69"/>
        <v>14.839730669167993</v>
      </c>
      <c r="H196" s="307">
        <f t="shared" ca="1" si="70"/>
        <v>134.96418120154942</v>
      </c>
      <c r="I196" s="304">
        <f t="shared" ca="1" si="71"/>
        <v>135.77756741722143</v>
      </c>
      <c r="J196" s="306">
        <f t="shared" ca="1" si="72"/>
        <v>13.664458021159634</v>
      </c>
      <c r="K196" s="307">
        <f t="shared" ca="1" si="73"/>
        <v>132.48029964295756</v>
      </c>
      <c r="L196" s="304">
        <f t="shared" ref="L196:L259" ca="1" si="87">SQRT(pos_x^2+pos_z^2)</f>
        <v>133.18313409174547</v>
      </c>
      <c r="M196" s="306">
        <f t="shared" ca="1" si="74"/>
        <v>1.4612831354732381</v>
      </c>
      <c r="N196" s="304">
        <f t="shared" ca="1" si="75"/>
        <v>83.725356336260248</v>
      </c>
      <c r="P196" s="310">
        <f t="shared" ca="1" si="76"/>
        <v>7</v>
      </c>
      <c r="Q196" s="304">
        <f t="shared" ca="1" si="77"/>
        <v>918.40649350649323</v>
      </c>
      <c r="R196" s="306">
        <f t="shared" ca="1" si="78"/>
        <v>0.46005944119914094</v>
      </c>
      <c r="S196" s="307">
        <f t="shared" ca="1" si="79"/>
        <v>11.548996902674849</v>
      </c>
      <c r="T196" s="304">
        <f t="shared" ref="T196:T259" ca="1" si="88">m*g</f>
        <v>113.29565961524028</v>
      </c>
      <c r="U196" s="311">
        <f t="shared" ref="U196:U259" ca="1" si="89">IF(pos_xz&lt;L_rampe,Poids*COS(Beta),0)</f>
        <v>0</v>
      </c>
      <c r="V196" s="306">
        <f t="shared" ref="V196:V259" ca="1" si="90">Rho_moyen*(20000-Alt_rampe-pos_z)/(20000+Alt_rampe+pos_z)</f>
        <v>1.2088779559550344</v>
      </c>
      <c r="W196" s="304">
        <f t="shared" ref="W196:W259" ca="1" si="91">1/2*Rho*Sref*Cx*vit_xz^2</f>
        <v>92.62465232721631</v>
      </c>
      <c r="Y196" s="314" t="str">
        <f t="shared" ca="1" si="80"/>
        <v/>
      </c>
      <c r="Z196" s="315" t="str">
        <f t="shared" ca="1" si="81"/>
        <v/>
      </c>
      <c r="AA196" s="316" t="str">
        <f t="shared" ca="1" si="82"/>
        <v/>
      </c>
      <c r="AC196" s="310" t="e">
        <f t="shared" ca="1" si="83"/>
        <v>#N/A</v>
      </c>
      <c r="AD196" s="323" t="e">
        <f t="shared" ca="1" si="84"/>
        <v>#N/A</v>
      </c>
      <c r="AE196" s="324">
        <f t="shared" ref="AE196:AE259" ca="1" si="92">IF(t&lt;T_para, pos_z, NA())</f>
        <v>132.48029964295756</v>
      </c>
      <c r="AG196" s="306">
        <f t="shared" ca="1" si="85"/>
        <v>61.822955178930975</v>
      </c>
      <c r="AH196" s="304">
        <f t="shared" ca="1" si="86"/>
        <v>71.574272175273848</v>
      </c>
    </row>
    <row r="197" spans="1:34" x14ac:dyDescent="0.25">
      <c r="A197" s="347">
        <f t="shared" ref="A197:A260" ca="1" si="93">IF(B196+0.01&lt;=T_ini+ROUNDUP(Temps_fin_propu,0), 0.01, IF(K196&gt;0, 0.1, 0.0001))</f>
        <v>0.01</v>
      </c>
      <c r="B197" s="304">
        <f t="shared" ref="B197:B260" ca="1" si="94">B196+pas</f>
        <v>1.9300000000000015</v>
      </c>
      <c r="D197" s="306">
        <f t="shared" ref="D197:D260" ca="1" si="95">IF(AND(L196&lt;L_rampe,Poussee&lt;Poids*SIN(M196)),0,(-W196+Poussee)/m*COS(M196)-U196/m*SIN(M196))</f>
        <v>7.8060051198005294</v>
      </c>
      <c r="E197" s="307">
        <f t="shared" ref="E197:E260" ca="1" si="96">IF(AND(L196&lt;L_rampe,Poussee&lt;Poids*SIN(M196)),0,(-W196+Poussee)/m*SIN(M196)+U196/m*COS(M196)-Poids/m)</f>
        <v>61.183949481702342</v>
      </c>
      <c r="F197" s="304">
        <f t="shared" ref="F197:F260" ca="1" si="97">SQRT(acc_x^2+acc_z^2)</f>
        <v>61.679894537116844</v>
      </c>
      <c r="G197" s="306">
        <f t="shared" ref="G197:G260" ca="1" si="98">G196+acc_x*pas</f>
        <v>14.917790720365998</v>
      </c>
      <c r="H197" s="307">
        <f t="shared" ref="H197:H260" ca="1" si="99">H196+acc_z*pas</f>
        <v>135.57602069636644</v>
      </c>
      <c r="I197" s="304">
        <f t="shared" ref="I197:I260" ca="1" si="100">SQRT(vit_x^2+vit_z^2)</f>
        <v>136.39427358887988</v>
      </c>
      <c r="J197" s="306">
        <f t="shared" ref="J197:J260" ca="1" si="101">J196+0.5*(vit_x+G196)*pas*(K196&gt;=0)</f>
        <v>13.813245628107303</v>
      </c>
      <c r="K197" s="307">
        <f t="shared" ref="K197:K260" ca="1" si="102">K196+0.5*(vit_z+H196)*pas</f>
        <v>133.83300065244714</v>
      </c>
      <c r="L197" s="304">
        <f t="shared" ca="1" si="87"/>
        <v>134.54396240047467</v>
      </c>
      <c r="M197" s="306">
        <f t="shared" ref="M197:M260" ca="1" si="103">IF(AND(L196&gt;L_rampe,G197&gt;0),ATAN2(G197,H197),$M$4)</f>
        <v>1.4612045267276677</v>
      </c>
      <c r="N197" s="304">
        <f t="shared" ref="N197:N260" ca="1" si="104">DEGREES(Beta)</f>
        <v>83.720852386906245</v>
      </c>
      <c r="P197" s="310">
        <f t="shared" ref="P197:P260" ca="1" si="105">MATCH(t-pas/2-T_ini,CdP_t)</f>
        <v>7</v>
      </c>
      <c r="Q197" s="304">
        <f t="shared" ref="Q197:Q260" ca="1" si="106">(INDEX(CdP,2,i_P+1)-INDEX(CdP,2,i_P+0))/(INDEX(CdP,1,i_P+1)-INDEX(CdP,1,i_P+0))*(t-pas/2-T_ini-INDEX(CdP,1,i_P+0))+INDEX(CdP,2,i_P+0)</f>
        <v>917.14675324675295</v>
      </c>
      <c r="R197" s="306">
        <f t="shared" ref="R197:R260" ca="1" si="107">Poussee/(g*ISP)</f>
        <v>0.45942839666270757</v>
      </c>
      <c r="S197" s="307">
        <f t="shared" ref="S197:S260" ca="1" si="108">S196-Débit*pas</f>
        <v>11.544402618708222</v>
      </c>
      <c r="T197" s="304">
        <f t="shared" ca="1" si="88"/>
        <v>113.25058968952767</v>
      </c>
      <c r="U197" s="311">
        <f t="shared" ca="1" si="89"/>
        <v>0</v>
      </c>
      <c r="V197" s="306">
        <f t="shared" ca="1" si="90"/>
        <v>1.2087144347234891</v>
      </c>
      <c r="W197" s="304">
        <f t="shared" ca="1" si="91"/>
        <v>93.455328479718617</v>
      </c>
      <c r="Y197" s="314" t="str">
        <f t="shared" ref="Y197:Y260" ca="1" si="109">IF(AND(pos_z&lt;=0,K196&gt;0),"Impact balistique","") &amp; IF(AND(H198&lt;0,vit_z&gt;=0),"Apogée","") &amp; IF(AND(Poussee=0,Q196&gt;0),"Fin de propulsion","") &amp; IF(AND(L198&gt;L_rampe,pos_xz&lt;=L_rampe),"Sortie de rampe","")</f>
        <v/>
      </c>
      <c r="Z197" s="315" t="str">
        <f t="shared" ref="Z197:Z260" ca="1" si="110">IF(ABS(t-T_para)&lt;pas/2,"Para","")</f>
        <v/>
      </c>
      <c r="AA197" s="316" t="str">
        <f t="shared" ref="AA197:AA260" ca="1" si="111">IF(ABS(t-T_satellite)&lt;pas/2,"Satellite","")</f>
        <v/>
      </c>
      <c r="AC197" s="310" t="e">
        <f t="shared" ref="AC197:AC260" ca="1" si="112">IF(ABS(t-ROUND(t,0))&lt;0.001,t,NA())</f>
        <v>#N/A</v>
      </c>
      <c r="AD197" s="323" t="e">
        <f t="shared" ref="AD197:AD260" ca="1" si="113">IF(ABS(t-ROUND(t,0))&lt;0.001,pos_x,NA())</f>
        <v>#N/A</v>
      </c>
      <c r="AE197" s="324">
        <f t="shared" ca="1" si="92"/>
        <v>133.83300065244714</v>
      </c>
      <c r="AG197" s="306">
        <f t="shared" ref="AG197:AG260" ca="1" si="114">IF(AND(L196&lt;L_rampe,Poussee&lt;Poids*SIN(M196)),0,(-W196+Poussee)/m-Poids*SIN(M196)/m)</f>
        <v>61.670575024551887</v>
      </c>
      <c r="AH197" s="304">
        <f t="shared" ref="AH197:AH260" ca="1" si="115">IF(AND(L196&lt;L_rampe,Poussee&lt;Poids*SIN(M196)), g*SIN(M196), (-W196+Poussee)/m)</f>
        <v>71.421807446611538</v>
      </c>
    </row>
    <row r="198" spans="1:34" x14ac:dyDescent="0.25">
      <c r="A198" s="347">
        <f t="shared" ca="1" si="93"/>
        <v>0.01</v>
      </c>
      <c r="B198" s="304">
        <f t="shared" ca="1" si="94"/>
        <v>1.9400000000000015</v>
      </c>
      <c r="D198" s="306">
        <f t="shared" ca="1" si="95"/>
        <v>7.7948789137907006</v>
      </c>
      <c r="E198" s="307">
        <f t="shared" ca="1" si="96"/>
        <v>61.031499572654567</v>
      </c>
      <c r="F198" s="304">
        <f t="shared" ca="1" si="97"/>
        <v>61.527262878886411</v>
      </c>
      <c r="G198" s="306">
        <f t="shared" ca="1" si="98"/>
        <v>14.995739509503904</v>
      </c>
      <c r="H198" s="307">
        <f t="shared" ca="1" si="99"/>
        <v>136.186335692093</v>
      </c>
      <c r="I198" s="304">
        <f t="shared" ca="1" si="100"/>
        <v>137.00945307779438</v>
      </c>
      <c r="J198" s="306">
        <f t="shared" ca="1" si="101"/>
        <v>13.962813279256652</v>
      </c>
      <c r="K198" s="307">
        <f t="shared" ca="1" si="102"/>
        <v>135.19181243438945</v>
      </c>
      <c r="L198" s="304">
        <f t="shared" ca="1" si="87"/>
        <v>135.91094990458467</v>
      </c>
      <c r="M198" s="306">
        <f t="shared" ca="1" si="103"/>
        <v>1.4611262149922577</v>
      </c>
      <c r="N198" s="304">
        <f t="shared" ca="1" si="104"/>
        <v>83.716365454980917</v>
      </c>
      <c r="P198" s="310">
        <f t="shared" ca="1" si="105"/>
        <v>7</v>
      </c>
      <c r="Q198" s="304">
        <f t="shared" ca="1" si="106"/>
        <v>915.88701298701278</v>
      </c>
      <c r="R198" s="306">
        <f t="shared" ca="1" si="107"/>
        <v>0.45879735212627432</v>
      </c>
      <c r="S198" s="307">
        <f t="shared" ca="1" si="108"/>
        <v>11.53981464518696</v>
      </c>
      <c r="T198" s="304">
        <f t="shared" ca="1" si="88"/>
        <v>113.20558166928409</v>
      </c>
      <c r="U198" s="311">
        <f t="shared" ca="1" si="89"/>
        <v>0</v>
      </c>
      <c r="V198" s="306">
        <f t="shared" ca="1" si="90"/>
        <v>1.2085501969114736</v>
      </c>
      <c r="W198" s="304">
        <f t="shared" ca="1" si="91"/>
        <v>94.287439967009249</v>
      </c>
      <c r="Y198" s="314" t="str">
        <f t="shared" ca="1" si="109"/>
        <v/>
      </c>
      <c r="Z198" s="315" t="str">
        <f t="shared" ca="1" si="110"/>
        <v/>
      </c>
      <c r="AA198" s="316" t="str">
        <f t="shared" ca="1" si="111"/>
        <v/>
      </c>
      <c r="AC198" s="310" t="e">
        <f t="shared" ca="1" si="112"/>
        <v>#N/A</v>
      </c>
      <c r="AD198" s="323" t="e">
        <f t="shared" ca="1" si="113"/>
        <v>#N/A</v>
      </c>
      <c r="AE198" s="324">
        <f t="shared" ca="1" si="92"/>
        <v>135.19181243438945</v>
      </c>
      <c r="AG198" s="306">
        <f t="shared" ca="1" si="114"/>
        <v>61.517906879362599</v>
      </c>
      <c r="AH198" s="304">
        <f t="shared" ca="1" si="115"/>
        <v>71.269054988705136</v>
      </c>
    </row>
    <row r="199" spans="1:34" x14ac:dyDescent="0.25">
      <c r="A199" s="347">
        <f t="shared" ca="1" si="93"/>
        <v>0.01</v>
      </c>
      <c r="B199" s="304">
        <f t="shared" ca="1" si="94"/>
        <v>1.9500000000000015</v>
      </c>
      <c r="D199" s="306">
        <f t="shared" ca="1" si="95"/>
        <v>7.7836766165107054</v>
      </c>
      <c r="E199" s="307">
        <f t="shared" ca="1" si="96"/>
        <v>60.878771030131674</v>
      </c>
      <c r="F199" s="304">
        <f t="shared" ca="1" si="97"/>
        <v>61.374346300466733</v>
      </c>
      <c r="G199" s="306">
        <f t="shared" ca="1" si="98"/>
        <v>15.073576275669012</v>
      </c>
      <c r="H199" s="307">
        <f t="shared" ca="1" si="99"/>
        <v>136.79512340239432</v>
      </c>
      <c r="I199" s="304">
        <f t="shared" ca="1" si="100"/>
        <v>137.62310303293813</v>
      </c>
      <c r="J199" s="306">
        <f t="shared" ca="1" si="101"/>
        <v>14.113159858182517</v>
      </c>
      <c r="K199" s="307">
        <f t="shared" ca="1" si="102"/>
        <v>136.5567197298619</v>
      </c>
      <c r="L199" s="304">
        <f t="shared" ca="1" si="87"/>
        <v>137.28408132249953</v>
      </c>
      <c r="M199" s="306">
        <f t="shared" ca="1" si="103"/>
        <v>1.4610481969555926</v>
      </c>
      <c r="N199" s="304">
        <f t="shared" ca="1" si="104"/>
        <v>83.711895350754105</v>
      </c>
      <c r="P199" s="310">
        <f t="shared" ca="1" si="105"/>
        <v>7</v>
      </c>
      <c r="Q199" s="304">
        <f t="shared" ca="1" si="106"/>
        <v>914.6272727272725</v>
      </c>
      <c r="R199" s="306">
        <f t="shared" ca="1" si="107"/>
        <v>0.45816630758984095</v>
      </c>
      <c r="S199" s="307">
        <f t="shared" ca="1" si="108"/>
        <v>11.535232982111062</v>
      </c>
      <c r="T199" s="304">
        <f t="shared" ca="1" si="88"/>
        <v>113.16063555450953</v>
      </c>
      <c r="U199" s="311">
        <f t="shared" ca="1" si="89"/>
        <v>0</v>
      </c>
      <c r="V199" s="306">
        <f t="shared" ca="1" si="90"/>
        <v>1.2083852446575261</v>
      </c>
      <c r="W199" s="304">
        <f t="shared" ca="1" si="91"/>
        <v>95.120952512052085</v>
      </c>
      <c r="Y199" s="314" t="str">
        <f t="shared" ca="1" si="109"/>
        <v/>
      </c>
      <c r="Z199" s="315" t="str">
        <f t="shared" ca="1" si="110"/>
        <v/>
      </c>
      <c r="AA199" s="316" t="str">
        <f t="shared" ca="1" si="111"/>
        <v/>
      </c>
      <c r="AC199" s="310" t="e">
        <f t="shared" ca="1" si="112"/>
        <v>#N/A</v>
      </c>
      <c r="AD199" s="323" t="e">
        <f t="shared" ca="1" si="113"/>
        <v>#N/A</v>
      </c>
      <c r="AE199" s="324">
        <f t="shared" ca="1" si="92"/>
        <v>136.5567197298619</v>
      </c>
      <c r="AG199" s="306">
        <f t="shared" ca="1" si="114"/>
        <v>61.364953630061869</v>
      </c>
      <c r="AH199" s="304">
        <f t="shared" ca="1" si="115"/>
        <v>71.116017685334427</v>
      </c>
    </row>
    <row r="200" spans="1:34" x14ac:dyDescent="0.25">
      <c r="A200" s="347">
        <f t="shared" ca="1" si="93"/>
        <v>0.01</v>
      </c>
      <c r="B200" s="304">
        <f t="shared" ca="1" si="94"/>
        <v>1.9600000000000015</v>
      </c>
      <c r="D200" s="306">
        <f t="shared" ca="1" si="95"/>
        <v>7.7723988472976755</v>
      </c>
      <c r="E200" s="307">
        <f t="shared" ca="1" si="96"/>
        <v>60.725766695586259</v>
      </c>
      <c r="F200" s="304">
        <f t="shared" ca="1" si="97"/>
        <v>61.22114769104094</v>
      </c>
      <c r="G200" s="306">
        <f t="shared" ca="1" si="98"/>
        <v>15.151300264141989</v>
      </c>
      <c r="H200" s="307">
        <f t="shared" ca="1" si="99"/>
        <v>137.40238106935018</v>
      </c>
      <c r="I200" s="304">
        <f t="shared" ca="1" si="100"/>
        <v>138.23522063215694</v>
      </c>
      <c r="J200" s="306">
        <f t="shared" ca="1" si="101"/>
        <v>14.264284240881572</v>
      </c>
      <c r="K200" s="307">
        <f t="shared" ca="1" si="102"/>
        <v>137.92770725222061</v>
      </c>
      <c r="L200" s="304">
        <f t="shared" ca="1" si="87"/>
        <v>138.66334134427504</v>
      </c>
      <c r="M200" s="306">
        <f t="shared" ca="1" si="103"/>
        <v>1.4609704693561774</v>
      </c>
      <c r="N200" s="304">
        <f t="shared" ca="1" si="104"/>
        <v>83.707441887355927</v>
      </c>
      <c r="P200" s="310">
        <f t="shared" ca="1" si="105"/>
        <v>7</v>
      </c>
      <c r="Q200" s="304">
        <f t="shared" ca="1" si="106"/>
        <v>913.36753246753221</v>
      </c>
      <c r="R200" s="306">
        <f t="shared" ca="1" si="107"/>
        <v>0.45753526305340764</v>
      </c>
      <c r="S200" s="307">
        <f t="shared" ca="1" si="108"/>
        <v>11.530657629480528</v>
      </c>
      <c r="T200" s="304">
        <f t="shared" ca="1" si="88"/>
        <v>113.11575134520399</v>
      </c>
      <c r="U200" s="311">
        <f t="shared" ca="1" si="89"/>
        <v>0</v>
      </c>
      <c r="V200" s="306">
        <f t="shared" ca="1" si="90"/>
        <v>1.2082195801037541</v>
      </c>
      <c r="W200" s="304">
        <f t="shared" ca="1" si="91"/>
        <v>95.955831895862516</v>
      </c>
      <c r="Y200" s="314" t="str">
        <f t="shared" ca="1" si="109"/>
        <v/>
      </c>
      <c r="Z200" s="315" t="str">
        <f t="shared" ca="1" si="110"/>
        <v/>
      </c>
      <c r="AA200" s="316" t="str">
        <f t="shared" ca="1" si="111"/>
        <v/>
      </c>
      <c r="AC200" s="310" t="e">
        <f t="shared" ca="1" si="112"/>
        <v>#N/A</v>
      </c>
      <c r="AD200" s="323" t="e">
        <f t="shared" ca="1" si="113"/>
        <v>#N/A</v>
      </c>
      <c r="AE200" s="324">
        <f t="shared" ca="1" si="92"/>
        <v>137.92770725222061</v>
      </c>
      <c r="AG200" s="306">
        <f t="shared" ca="1" si="114"/>
        <v>61.211718163927699</v>
      </c>
      <c r="AH200" s="304">
        <f t="shared" ca="1" si="115"/>
        <v>70.962698420900324</v>
      </c>
    </row>
    <row r="201" spans="1:34" x14ac:dyDescent="0.25">
      <c r="A201" s="347">
        <f t="shared" ca="1" si="93"/>
        <v>0.01</v>
      </c>
      <c r="B201" s="304">
        <f t="shared" ca="1" si="94"/>
        <v>1.9700000000000015</v>
      </c>
      <c r="D201" s="306">
        <f t="shared" ca="1" si="95"/>
        <v>7.7610462213880771</v>
      </c>
      <c r="E201" s="307">
        <f t="shared" ca="1" si="96"/>
        <v>60.572489411273921</v>
      </c>
      <c r="F201" s="304">
        <f t="shared" ca="1" si="97"/>
        <v>61.067669940234438</v>
      </c>
      <c r="G201" s="306">
        <f t="shared" ca="1" si="98"/>
        <v>15.228910726355871</v>
      </c>
      <c r="H201" s="307">
        <f t="shared" ca="1" si="99"/>
        <v>138.00810596346292</v>
      </c>
      <c r="I201" s="304">
        <f t="shared" ca="1" si="100"/>
        <v>138.8458030821736</v>
      </c>
      <c r="J201" s="306">
        <f t="shared" ca="1" si="101"/>
        <v>14.416185295834062</v>
      </c>
      <c r="K201" s="307">
        <f t="shared" ca="1" si="102"/>
        <v>139.30475968738469</v>
      </c>
      <c r="L201" s="304">
        <f t="shared" ca="1" si="87"/>
        <v>140.04871463188738</v>
      </c>
      <c r="M201" s="306">
        <f t="shared" ca="1" si="103"/>
        <v>1.4608930289814162</v>
      </c>
      <c r="N201" s="304">
        <f t="shared" ca="1" si="104"/>
        <v>83.703004880718197</v>
      </c>
      <c r="P201" s="310">
        <f t="shared" ca="1" si="105"/>
        <v>7</v>
      </c>
      <c r="Q201" s="304">
        <f t="shared" ca="1" si="106"/>
        <v>912.10779220779193</v>
      </c>
      <c r="R201" s="306">
        <f t="shared" ca="1" si="107"/>
        <v>0.45690421851697427</v>
      </c>
      <c r="S201" s="307">
        <f t="shared" ca="1" si="108"/>
        <v>11.526088587295359</v>
      </c>
      <c r="T201" s="304">
        <f t="shared" ca="1" si="88"/>
        <v>113.07092904136748</v>
      </c>
      <c r="U201" s="311">
        <f t="shared" ca="1" si="89"/>
        <v>0</v>
      </c>
      <c r="V201" s="306">
        <f t="shared" ca="1" si="90"/>
        <v>1.208053205395786</v>
      </c>
      <c r="W201" s="304">
        <f t="shared" ca="1" si="91"/>
        <v>96.792043959037713</v>
      </c>
      <c r="Y201" s="314" t="str">
        <f t="shared" ca="1" si="109"/>
        <v/>
      </c>
      <c r="Z201" s="315" t="str">
        <f t="shared" ca="1" si="110"/>
        <v/>
      </c>
      <c r="AA201" s="316" t="str">
        <f t="shared" ca="1" si="111"/>
        <v/>
      </c>
      <c r="AC201" s="310" t="e">
        <f t="shared" ca="1" si="112"/>
        <v>#N/A</v>
      </c>
      <c r="AD201" s="323" t="e">
        <f t="shared" ca="1" si="113"/>
        <v>#N/A</v>
      </c>
      <c r="AE201" s="324">
        <f t="shared" ca="1" si="92"/>
        <v>139.30475968738469</v>
      </c>
      <c r="AG201" s="306">
        <f t="shared" ca="1" si="114"/>
        <v>61.058203368669766</v>
      </c>
      <c r="AH201" s="304">
        <f t="shared" ca="1" si="115"/>
        <v>70.809100080276465</v>
      </c>
    </row>
    <row r="202" spans="1:34" x14ac:dyDescent="0.25">
      <c r="A202" s="347">
        <f t="shared" ca="1" si="93"/>
        <v>0.01</v>
      </c>
      <c r="B202" s="304">
        <f t="shared" ca="1" si="94"/>
        <v>1.9800000000000015</v>
      </c>
      <c r="D202" s="306">
        <f t="shared" ca="1" si="95"/>
        <v>7.7496193499942585</v>
      </c>
      <c r="E202" s="307">
        <f t="shared" ca="1" si="96"/>
        <v>60.418942020099081</v>
      </c>
      <c r="F202" s="304">
        <f t="shared" ca="1" si="97"/>
        <v>60.913915937968561</v>
      </c>
      <c r="G202" s="306">
        <f t="shared" ca="1" si="98"/>
        <v>15.306406919855814</v>
      </c>
      <c r="H202" s="307">
        <f t="shared" ca="1" si="99"/>
        <v>138.61229538366391</v>
      </c>
      <c r="I202" s="304">
        <f t="shared" ca="1" si="100"/>
        <v>139.45484761859052</v>
      </c>
      <c r="J202" s="306">
        <f t="shared" ca="1" si="101"/>
        <v>14.56886188406512</v>
      </c>
      <c r="K202" s="307">
        <f t="shared" ca="1" si="102"/>
        <v>140.68786169412033</v>
      </c>
      <c r="L202" s="304">
        <f t="shared" ca="1" si="87"/>
        <v>141.44018581952193</v>
      </c>
      <c r="M202" s="306">
        <f t="shared" ca="1" si="103"/>
        <v>1.4608158726666154</v>
      </c>
      <c r="N202" s="304">
        <f t="shared" ca="1" si="104"/>
        <v>83.69858414951733</v>
      </c>
      <c r="P202" s="310">
        <f t="shared" ca="1" si="105"/>
        <v>7</v>
      </c>
      <c r="Q202" s="304">
        <f t="shared" ca="1" si="106"/>
        <v>910.84805194805176</v>
      </c>
      <c r="R202" s="306">
        <f t="shared" ca="1" si="107"/>
        <v>0.45627317398054101</v>
      </c>
      <c r="S202" s="307">
        <f t="shared" ca="1" si="108"/>
        <v>11.521525855555554</v>
      </c>
      <c r="T202" s="304">
        <f t="shared" ca="1" si="88"/>
        <v>113.02616864299999</v>
      </c>
      <c r="U202" s="311">
        <f t="shared" ca="1" si="89"/>
        <v>0</v>
      </c>
      <c r="V202" s="306">
        <f t="shared" ca="1" si="90"/>
        <v>1.2078861226827233</v>
      </c>
      <c r="W202" s="304">
        <f t="shared" ca="1" si="91"/>
        <v>97.629554603276418</v>
      </c>
      <c r="Y202" s="314" t="str">
        <f t="shared" ca="1" si="109"/>
        <v/>
      </c>
      <c r="Z202" s="315" t="str">
        <f t="shared" ca="1" si="110"/>
        <v/>
      </c>
      <c r="AA202" s="316" t="str">
        <f t="shared" ca="1" si="111"/>
        <v/>
      </c>
      <c r="AC202" s="310" t="e">
        <f t="shared" ca="1" si="112"/>
        <v>#N/A</v>
      </c>
      <c r="AD202" s="323" t="e">
        <f t="shared" ca="1" si="113"/>
        <v>#N/A</v>
      </c>
      <c r="AE202" s="324">
        <f t="shared" ca="1" si="92"/>
        <v>140.68786169412033</v>
      </c>
      <c r="AG202" s="306">
        <f t="shared" ca="1" si="114"/>
        <v>60.90441213228263</v>
      </c>
      <c r="AH202" s="304">
        <f t="shared" ca="1" si="115"/>
        <v>70.655225548661605</v>
      </c>
    </row>
    <row r="203" spans="1:34" x14ac:dyDescent="0.25">
      <c r="A203" s="347">
        <f t="shared" ca="1" si="93"/>
        <v>0.01</v>
      </c>
      <c r="B203" s="304">
        <f t="shared" ca="1" si="94"/>
        <v>1.9900000000000015</v>
      </c>
      <c r="D203" s="306">
        <f t="shared" ca="1" si="95"/>
        <v>7.7381188403787373</v>
      </c>
      <c r="E203" s="307">
        <f t="shared" ca="1" si="96"/>
        <v>60.265127365461225</v>
      </c>
      <c r="F203" s="304">
        <f t="shared" ca="1" si="97"/>
        <v>60.759888574314289</v>
      </c>
      <c r="G203" s="306">
        <f t="shared" ca="1" si="98"/>
        <v>15.383788108259601</v>
      </c>
      <c r="H203" s="307">
        <f t="shared" ca="1" si="99"/>
        <v>139.21494665731851</v>
      </c>
      <c r="I203" s="304">
        <f t="shared" ca="1" si="100"/>
        <v>140.06235150589137</v>
      </c>
      <c r="J203" s="306">
        <f t="shared" ca="1" si="101"/>
        <v>14.722312859205697</v>
      </c>
      <c r="K203" s="307">
        <f t="shared" ca="1" si="102"/>
        <v>142.07699790432525</v>
      </c>
      <c r="L203" s="304">
        <f t="shared" ca="1" si="87"/>
        <v>142.83773951386229</v>
      </c>
      <c r="M203" s="306">
        <f t="shared" ca="1" si="103"/>
        <v>1.4607389972940132</v>
      </c>
      <c r="N203" s="304">
        <f t="shared" ca="1" si="104"/>
        <v>83.694179515118734</v>
      </c>
      <c r="P203" s="310">
        <f t="shared" ca="1" si="105"/>
        <v>7</v>
      </c>
      <c r="Q203" s="304">
        <f t="shared" ca="1" si="106"/>
        <v>909.58831168831148</v>
      </c>
      <c r="R203" s="306">
        <f t="shared" ca="1" si="107"/>
        <v>0.45564212944410765</v>
      </c>
      <c r="S203" s="307">
        <f t="shared" ca="1" si="108"/>
        <v>11.516969434261114</v>
      </c>
      <c r="T203" s="304">
        <f t="shared" ca="1" si="88"/>
        <v>112.98147015010153</v>
      </c>
      <c r="U203" s="311">
        <f t="shared" ca="1" si="89"/>
        <v>0</v>
      </c>
      <c r="V203" s="306">
        <f t="shared" ca="1" si="90"/>
        <v>1.2077183341170916</v>
      </c>
      <c r="W203" s="304">
        <f t="shared" ca="1" si="91"/>
        <v>98.468329792888284</v>
      </c>
      <c r="Y203" s="314" t="str">
        <f t="shared" ca="1" si="109"/>
        <v/>
      </c>
      <c r="Z203" s="315" t="str">
        <f t="shared" ca="1" si="110"/>
        <v/>
      </c>
      <c r="AA203" s="316" t="str">
        <f t="shared" ca="1" si="111"/>
        <v/>
      </c>
      <c r="AC203" s="310" t="e">
        <f t="shared" ca="1" si="112"/>
        <v>#N/A</v>
      </c>
      <c r="AD203" s="323" t="e">
        <f t="shared" ca="1" si="113"/>
        <v>#N/A</v>
      </c>
      <c r="AE203" s="324">
        <f t="shared" ca="1" si="92"/>
        <v>142.07699790432525</v>
      </c>
      <c r="AG203" s="306">
        <f t="shared" ca="1" si="114"/>
        <v>60.750347342899389</v>
      </c>
      <c r="AH203" s="304">
        <f t="shared" ca="1" si="115"/>
        <v>70.501077711432458</v>
      </c>
    </row>
    <row r="204" spans="1:34" x14ac:dyDescent="0.25">
      <c r="A204" s="347">
        <f t="shared" ca="1" si="93"/>
        <v>0.01</v>
      </c>
      <c r="B204" s="304">
        <f t="shared" ca="1" si="94"/>
        <v>2.0000000000000013</v>
      </c>
      <c r="D204" s="306">
        <f t="shared" ca="1" si="95"/>
        <v>7.7265452959260719</v>
      </c>
      <c r="E204" s="307">
        <f t="shared" ca="1" si="96"/>
        <v>60.111048291102236</v>
      </c>
      <c r="F204" s="304">
        <f t="shared" ca="1" si="97"/>
        <v>60.605590739346994</v>
      </c>
      <c r="G204" s="306">
        <f t="shared" ca="1" si="98"/>
        <v>15.461053561218861</v>
      </c>
      <c r="H204" s="307">
        <f t="shared" ca="1" si="99"/>
        <v>139.81605714022953</v>
      </c>
      <c r="I204" s="304">
        <f t="shared" ca="1" si="100"/>
        <v>140.66831203744078</v>
      </c>
      <c r="J204" s="306">
        <f t="shared" ca="1" si="101"/>
        <v>14.876537067553089</v>
      </c>
      <c r="K204" s="307">
        <f t="shared" ca="1" si="102"/>
        <v>143.47215292331299</v>
      </c>
      <c r="L204" s="304">
        <f t="shared" ca="1" si="87"/>
        <v>144.24136029437878</v>
      </c>
      <c r="M204" s="306">
        <f t="shared" ca="1" si="103"/>
        <v>1.4606623997918331</v>
      </c>
      <c r="N204" s="304">
        <f t="shared" ca="1" si="104"/>
        <v>83.689790801522577</v>
      </c>
      <c r="P204" s="310">
        <f t="shared" ca="1" si="105"/>
        <v>7</v>
      </c>
      <c r="Q204" s="304">
        <f t="shared" ca="1" si="106"/>
        <v>908.32857142857119</v>
      </c>
      <c r="R204" s="306">
        <f t="shared" ca="1" si="107"/>
        <v>0.45501108490767428</v>
      </c>
      <c r="S204" s="307">
        <f t="shared" ca="1" si="108"/>
        <v>11.512419323412036</v>
      </c>
      <c r="T204" s="304">
        <f t="shared" ca="1" si="88"/>
        <v>112.93683356267208</v>
      </c>
      <c r="U204" s="311">
        <f t="shared" ca="1" si="89"/>
        <v>0</v>
      </c>
      <c r="V204" s="306">
        <f t="shared" ca="1" si="90"/>
        <v>1.2075498418547914</v>
      </c>
      <c r="W204" s="304">
        <f t="shared" ca="1" si="91"/>
        <v>99.308335556292164</v>
      </c>
      <c r="Y204" s="314" t="str">
        <f t="shared" ca="1" si="109"/>
        <v/>
      </c>
      <c r="Z204" s="315" t="str">
        <f t="shared" ca="1" si="110"/>
        <v/>
      </c>
      <c r="AA204" s="316" t="str">
        <f t="shared" ca="1" si="111"/>
        <v/>
      </c>
      <c r="AC204" s="310">
        <f t="shared" ca="1" si="112"/>
        <v>2.0000000000000013</v>
      </c>
      <c r="AD204" s="323">
        <f t="shared" ca="1" si="113"/>
        <v>14.876537067553089</v>
      </c>
      <c r="AE204" s="324">
        <f t="shared" ca="1" si="92"/>
        <v>143.47215292331299</v>
      </c>
      <c r="AG204" s="306">
        <f t="shared" ca="1" si="114"/>
        <v>60.596011888645883</v>
      </c>
      <c r="AH204" s="304">
        <f t="shared" ca="1" si="115"/>
        <v>70.346659453997162</v>
      </c>
    </row>
    <row r="205" spans="1:34" x14ac:dyDescent="0.25">
      <c r="A205" s="347">
        <f t="shared" ca="1" si="93"/>
        <v>0.01</v>
      </c>
      <c r="B205" s="304">
        <f t="shared" ca="1" si="94"/>
        <v>2.0100000000000011</v>
      </c>
      <c r="D205" s="306">
        <f t="shared" ca="1" si="95"/>
        <v>7.7148993162125379</v>
      </c>
      <c r="E205" s="307">
        <f t="shared" ca="1" si="96"/>
        <v>59.95670764095415</v>
      </c>
      <c r="F205" s="304">
        <f t="shared" ca="1" si="97"/>
        <v>60.451025323001318</v>
      </c>
      <c r="G205" s="306">
        <f t="shared" ca="1" si="98"/>
        <v>15.538202554380987</v>
      </c>
      <c r="H205" s="307">
        <f t="shared" ca="1" si="99"/>
        <v>140.41562421663906</v>
      </c>
      <c r="I205" s="304">
        <f t="shared" ca="1" si="100"/>
        <v>141.272726535483</v>
      </c>
      <c r="J205" s="306">
        <f t="shared" ca="1" si="101"/>
        <v>15.031533348131088</v>
      </c>
      <c r="K205" s="307">
        <f t="shared" ca="1" si="102"/>
        <v>144.87331133009732</v>
      </c>
      <c r="L205" s="304">
        <f t="shared" ca="1" si="87"/>
        <v>145.65103271361752</v>
      </c>
      <c r="M205" s="306">
        <f t="shared" ca="1" si="103"/>
        <v>1.4605860771333614</v>
      </c>
      <c r="N205" s="304">
        <f t="shared" ca="1" si="104"/>
        <v>83.685417835310929</v>
      </c>
      <c r="P205" s="310">
        <f t="shared" ca="1" si="105"/>
        <v>7</v>
      </c>
      <c r="Q205" s="304">
        <f t="shared" ca="1" si="106"/>
        <v>907.06883116883091</v>
      </c>
      <c r="R205" s="306">
        <f t="shared" ca="1" si="107"/>
        <v>0.45438004037124097</v>
      </c>
      <c r="S205" s="307">
        <f t="shared" ca="1" si="108"/>
        <v>11.507875523008323</v>
      </c>
      <c r="T205" s="304">
        <f t="shared" ca="1" si="88"/>
        <v>112.89225888071165</v>
      </c>
      <c r="U205" s="311">
        <f t="shared" ca="1" si="89"/>
        <v>0</v>
      </c>
      <c r="V205" s="306">
        <f t="shared" ca="1" si="90"/>
        <v>1.2073806480550509</v>
      </c>
      <c r="W205" s="304">
        <f t="shared" ca="1" si="91"/>
        <v>100.1495379875042</v>
      </c>
      <c r="Y205" s="314" t="str">
        <f t="shared" ca="1" si="109"/>
        <v/>
      </c>
      <c r="Z205" s="315" t="str">
        <f t="shared" ca="1" si="110"/>
        <v/>
      </c>
      <c r="AA205" s="316" t="str">
        <f t="shared" ca="1" si="111"/>
        <v/>
      </c>
      <c r="AC205" s="310" t="e">
        <f t="shared" ca="1" si="112"/>
        <v>#N/A</v>
      </c>
      <c r="AD205" s="323" t="e">
        <f t="shared" ca="1" si="113"/>
        <v>#N/A</v>
      </c>
      <c r="AE205" s="324">
        <f t="shared" ca="1" si="92"/>
        <v>144.87331133009732</v>
      </c>
      <c r="AG205" s="306">
        <f t="shared" ca="1" si="114"/>
        <v>60.441408657495522</v>
      </c>
      <c r="AH205" s="304">
        <f t="shared" ca="1" si="115"/>
        <v>70.191973661649286</v>
      </c>
    </row>
    <row r="206" spans="1:34" x14ac:dyDescent="0.25">
      <c r="A206" s="347">
        <f t="shared" ca="1" si="93"/>
        <v>0.01</v>
      </c>
      <c r="B206" s="304">
        <f t="shared" ca="1" si="94"/>
        <v>2.0200000000000009</v>
      </c>
      <c r="D206" s="306">
        <f t="shared" ca="1" si="95"/>
        <v>7.7031814970735901</v>
      </c>
      <c r="E206" s="307">
        <f t="shared" ca="1" si="96"/>
        <v>59.802108258987985</v>
      </c>
      <c r="F206" s="304">
        <f t="shared" ca="1" si="97"/>
        <v>60.296195214926918</v>
      </c>
      <c r="G206" s="306">
        <f t="shared" ca="1" si="98"/>
        <v>15.615234369351723</v>
      </c>
      <c r="H206" s="307">
        <f t="shared" ca="1" si="99"/>
        <v>141.01364529922893</v>
      </c>
      <c r="I206" s="304">
        <f t="shared" ca="1" si="100"/>
        <v>141.87559235113886</v>
      </c>
      <c r="J206" s="306">
        <f t="shared" ca="1" si="101"/>
        <v>15.187300532749752</v>
      </c>
      <c r="K206" s="307">
        <f t="shared" ca="1" si="102"/>
        <v>146.28045767767665</v>
      </c>
      <c r="L206" s="304">
        <f t="shared" ca="1" si="87"/>
        <v>147.06674129748919</v>
      </c>
      <c r="M206" s="306">
        <f t="shared" ca="1" si="103"/>
        <v>1.4605100263360473</v>
      </c>
      <c r="N206" s="304">
        <f t="shared" ca="1" si="104"/>
        <v>83.681060445596231</v>
      </c>
      <c r="P206" s="310">
        <f t="shared" ca="1" si="105"/>
        <v>7</v>
      </c>
      <c r="Q206" s="304">
        <f t="shared" ca="1" si="106"/>
        <v>905.80909090909074</v>
      </c>
      <c r="R206" s="306">
        <f t="shared" ca="1" si="107"/>
        <v>0.45374899583480766</v>
      </c>
      <c r="S206" s="307">
        <f t="shared" ca="1" si="108"/>
        <v>11.503338033049975</v>
      </c>
      <c r="T206" s="304">
        <f t="shared" ca="1" si="88"/>
        <v>112.84774610422026</v>
      </c>
      <c r="U206" s="311">
        <f t="shared" ca="1" si="89"/>
        <v>0</v>
      </c>
      <c r="V206" s="306">
        <f t="shared" ca="1" si="90"/>
        <v>1.2072107548803768</v>
      </c>
      <c r="W206" s="304">
        <f t="shared" ca="1" si="91"/>
        <v>100.99190324761457</v>
      </c>
      <c r="Y206" s="314" t="str">
        <f t="shared" ca="1" si="109"/>
        <v/>
      </c>
      <c r="Z206" s="315" t="str">
        <f t="shared" ca="1" si="110"/>
        <v/>
      </c>
      <c r="AA206" s="316" t="str">
        <f t="shared" ca="1" si="111"/>
        <v/>
      </c>
      <c r="AC206" s="310" t="e">
        <f t="shared" ca="1" si="112"/>
        <v>#N/A</v>
      </c>
      <c r="AD206" s="323" t="e">
        <f t="shared" ca="1" si="113"/>
        <v>#N/A</v>
      </c>
      <c r="AE206" s="324">
        <f t="shared" ca="1" si="92"/>
        <v>146.28045767767665</v>
      </c>
      <c r="AG206" s="306">
        <f t="shared" ca="1" si="114"/>
        <v>60.286540537124587</v>
      </c>
      <c r="AH206" s="304">
        <f t="shared" ca="1" si="115"/>
        <v>70.037023219422451</v>
      </c>
    </row>
    <row r="207" spans="1:34" x14ac:dyDescent="0.25">
      <c r="A207" s="347">
        <f t="shared" ca="1" si="93"/>
        <v>0.01</v>
      </c>
      <c r="B207" s="304">
        <f t="shared" ca="1" si="94"/>
        <v>2.0300000000000007</v>
      </c>
      <c r="D207" s="306">
        <f t="shared" ca="1" si="95"/>
        <v>7.6913924306693104</v>
      </c>
      <c r="E207" s="307">
        <f t="shared" ca="1" si="96"/>
        <v>59.647252989063077</v>
      </c>
      <c r="F207" s="304">
        <f t="shared" ca="1" si="97"/>
        <v>60.141103304344618</v>
      </c>
      <c r="G207" s="306">
        <f t="shared" ca="1" si="98"/>
        <v>15.692148293658416</v>
      </c>
      <c r="H207" s="307">
        <f t="shared" ca="1" si="99"/>
        <v>141.61011782911956</v>
      </c>
      <c r="I207" s="304">
        <f t="shared" ca="1" si="100"/>
        <v>142.47690686440131</v>
      </c>
      <c r="J207" s="306">
        <f t="shared" ca="1" si="101"/>
        <v>15.343837446064803</v>
      </c>
      <c r="K207" s="307">
        <f t="shared" ca="1" si="102"/>
        <v>147.6935764933184</v>
      </c>
      <c r="L207" s="304">
        <f t="shared" ca="1" si="87"/>
        <v>148.4884705455577</v>
      </c>
      <c r="M207" s="306">
        <f t="shared" ca="1" si="103"/>
        <v>1.4604342444606273</v>
      </c>
      <c r="N207" s="304">
        <f t="shared" ca="1" si="104"/>
        <v>83.676718463971071</v>
      </c>
      <c r="P207" s="310">
        <f t="shared" ca="1" si="105"/>
        <v>7</v>
      </c>
      <c r="Q207" s="304">
        <f t="shared" ca="1" si="106"/>
        <v>904.54935064935046</v>
      </c>
      <c r="R207" s="306">
        <f t="shared" ca="1" si="107"/>
        <v>0.45311795129837434</v>
      </c>
      <c r="S207" s="307">
        <f t="shared" ca="1" si="108"/>
        <v>11.498806853536991</v>
      </c>
      <c r="T207" s="304">
        <f t="shared" ca="1" si="88"/>
        <v>112.80329523319789</v>
      </c>
      <c r="U207" s="311">
        <f t="shared" ca="1" si="89"/>
        <v>0</v>
      </c>
      <c r="V207" s="306">
        <f t="shared" ca="1" si="90"/>
        <v>1.2070401644965056</v>
      </c>
      <c r="W207" s="304">
        <f t="shared" ca="1" si="91"/>
        <v>101.83539756625333</v>
      </c>
      <c r="Y207" s="314" t="str">
        <f t="shared" ca="1" si="109"/>
        <v/>
      </c>
      <c r="Z207" s="315" t="str">
        <f t="shared" ca="1" si="110"/>
        <v/>
      </c>
      <c r="AA207" s="316" t="str">
        <f t="shared" ca="1" si="111"/>
        <v/>
      </c>
      <c r="AC207" s="310" t="e">
        <f t="shared" ca="1" si="112"/>
        <v>#N/A</v>
      </c>
      <c r="AD207" s="323" t="e">
        <f t="shared" ca="1" si="113"/>
        <v>#N/A</v>
      </c>
      <c r="AE207" s="324">
        <f t="shared" ca="1" si="92"/>
        <v>147.6935764933184</v>
      </c>
      <c r="AG207" s="306">
        <f t="shared" ca="1" si="114"/>
        <v>60.131410414768155</v>
      </c>
      <c r="AH207" s="304">
        <f t="shared" ca="1" si="115"/>
        <v>69.881811011945516</v>
      </c>
    </row>
    <row r="208" spans="1:34" x14ac:dyDescent="0.25">
      <c r="A208" s="347">
        <f t="shared" ca="1" si="93"/>
        <v>0.01</v>
      </c>
      <c r="B208" s="304">
        <f t="shared" ca="1" si="94"/>
        <v>2.0400000000000005</v>
      </c>
      <c r="D208" s="306">
        <f t="shared" ca="1" si="95"/>
        <v>7.6795327055476372</v>
      </c>
      <c r="E208" s="307">
        <f t="shared" ca="1" si="96"/>
        <v>59.492144674777492</v>
      </c>
      <c r="F208" s="304">
        <f t="shared" ca="1" si="97"/>
        <v>59.985752479903354</v>
      </c>
      <c r="G208" s="306">
        <f t="shared" ca="1" si="98"/>
        <v>15.768943620713893</v>
      </c>
      <c r="H208" s="307">
        <f t="shared" ca="1" si="99"/>
        <v>142.20503927586734</v>
      </c>
      <c r="I208" s="304">
        <f t="shared" ca="1" si="100"/>
        <v>143.07666748412973</v>
      </c>
      <c r="J208" s="306">
        <f t="shared" ca="1" si="101"/>
        <v>15.501142905636666</v>
      </c>
      <c r="K208" s="307">
        <f t="shared" ca="1" si="102"/>
        <v>149.11265227884334</v>
      </c>
      <c r="L208" s="304">
        <f t="shared" ca="1" si="87"/>
        <v>149.91620493132893</v>
      </c>
      <c r="M208" s="306">
        <f t="shared" ca="1" si="103"/>
        <v>1.4603587286102684</v>
      </c>
      <c r="N208" s="304">
        <f t="shared" ca="1" si="104"/>
        <v>83.67239172445916</v>
      </c>
      <c r="P208" s="310">
        <f t="shared" ca="1" si="105"/>
        <v>7</v>
      </c>
      <c r="Q208" s="304">
        <f t="shared" ca="1" si="106"/>
        <v>903.28961038961029</v>
      </c>
      <c r="R208" s="306">
        <f t="shared" ca="1" si="107"/>
        <v>0.45248690676194103</v>
      </c>
      <c r="S208" s="307">
        <f t="shared" ca="1" si="108"/>
        <v>11.494281984469371</v>
      </c>
      <c r="T208" s="304">
        <f t="shared" ca="1" si="88"/>
        <v>112.75890626764453</v>
      </c>
      <c r="U208" s="311">
        <f t="shared" ca="1" si="89"/>
        <v>0</v>
      </c>
      <c r="V208" s="306">
        <f t="shared" ca="1" si="90"/>
        <v>1.2068688790723572</v>
      </c>
      <c r="W208" s="304">
        <f t="shared" ca="1" si="91"/>
        <v>102.67998724304566</v>
      </c>
      <c r="Y208" s="314" t="str">
        <f t="shared" ca="1" si="109"/>
        <v/>
      </c>
      <c r="Z208" s="315" t="str">
        <f t="shared" ca="1" si="110"/>
        <v/>
      </c>
      <c r="AA208" s="316" t="str">
        <f t="shared" ca="1" si="111"/>
        <v/>
      </c>
      <c r="AC208" s="310" t="e">
        <f t="shared" ca="1" si="112"/>
        <v>#N/A</v>
      </c>
      <c r="AD208" s="323" t="e">
        <f t="shared" ca="1" si="113"/>
        <v>#N/A</v>
      </c>
      <c r="AE208" s="324">
        <f t="shared" ca="1" si="92"/>
        <v>149.11265227884334</v>
      </c>
      <c r="AG208" s="306">
        <f t="shared" ca="1" si="114"/>
        <v>59.976021177076717</v>
      </c>
      <c r="AH208" s="304">
        <f t="shared" ca="1" si="115"/>
        <v>69.726339923298468</v>
      </c>
    </row>
    <row r="209" spans="1:34" x14ac:dyDescent="0.25">
      <c r="A209" s="347">
        <f t="shared" ca="1" si="93"/>
        <v>0.01</v>
      </c>
      <c r="B209" s="304">
        <f t="shared" ca="1" si="94"/>
        <v>2.0500000000000003</v>
      </c>
      <c r="D209" s="306">
        <f t="shared" ca="1" si="95"/>
        <v>7.6676029067058291</v>
      </c>
      <c r="E209" s="307">
        <f t="shared" ca="1" si="96"/>
        <v>59.336786159318805</v>
      </c>
      <c r="F209" s="304">
        <f t="shared" ca="1" si="97"/>
        <v>59.830145629537384</v>
      </c>
      <c r="G209" s="306">
        <f t="shared" ca="1" si="98"/>
        <v>15.845619649780952</v>
      </c>
      <c r="H209" s="307">
        <f t="shared" ca="1" si="99"/>
        <v>142.79840713746052</v>
      </c>
      <c r="I209" s="304">
        <f t="shared" ca="1" si="100"/>
        <v>143.6748716480424</v>
      </c>
      <c r="J209" s="306">
        <f t="shared" ca="1" si="101"/>
        <v>15.65921572198914</v>
      </c>
      <c r="K209" s="307">
        <f t="shared" ca="1" si="102"/>
        <v>150.53766951090998</v>
      </c>
      <c r="L209" s="304">
        <f t="shared" ca="1" si="87"/>
        <v>151.34992890253946</v>
      </c>
      <c r="M209" s="306">
        <f t="shared" ca="1" si="103"/>
        <v>1.4602834759297347</v>
      </c>
      <c r="N209" s="304">
        <f t="shared" ca="1" si="104"/>
        <v>83.668080063467542</v>
      </c>
      <c r="P209" s="310">
        <f t="shared" ca="1" si="105"/>
        <v>7</v>
      </c>
      <c r="Q209" s="304">
        <f t="shared" ca="1" si="106"/>
        <v>902.02987012987001</v>
      </c>
      <c r="R209" s="306">
        <f t="shared" ca="1" si="107"/>
        <v>0.45185586222550772</v>
      </c>
      <c r="S209" s="307">
        <f t="shared" ca="1" si="108"/>
        <v>11.489763425847116</v>
      </c>
      <c r="T209" s="304">
        <f t="shared" ca="1" si="88"/>
        <v>112.71457920756021</v>
      </c>
      <c r="U209" s="311">
        <f t="shared" ca="1" si="89"/>
        <v>0</v>
      </c>
      <c r="V209" s="306">
        <f t="shared" ca="1" si="90"/>
        <v>1.2066969007799837</v>
      </c>
      <c r="W209" s="304">
        <f t="shared" ca="1" si="91"/>
        <v>103.52563864905507</v>
      </c>
      <c r="Y209" s="314" t="str">
        <f t="shared" ca="1" si="109"/>
        <v/>
      </c>
      <c r="Z209" s="315" t="str">
        <f t="shared" ca="1" si="110"/>
        <v/>
      </c>
      <c r="AA209" s="316" t="str">
        <f t="shared" ca="1" si="111"/>
        <v/>
      </c>
      <c r="AC209" s="310" t="e">
        <f t="shared" ca="1" si="112"/>
        <v>#N/A</v>
      </c>
      <c r="AD209" s="323" t="e">
        <f t="shared" ca="1" si="113"/>
        <v>#N/A</v>
      </c>
      <c r="AE209" s="324">
        <f t="shared" ca="1" si="92"/>
        <v>150.53766951090998</v>
      </c>
      <c r="AG209" s="306">
        <f t="shared" ca="1" si="114"/>
        <v>59.820375709973149</v>
      </c>
      <c r="AH209" s="304">
        <f t="shared" ca="1" si="115"/>
        <v>69.570612836868747</v>
      </c>
    </row>
    <row r="210" spans="1:34" x14ac:dyDescent="0.25">
      <c r="A210" s="347">
        <f t="shared" ca="1" si="93"/>
        <v>0.01</v>
      </c>
      <c r="B210" s="304">
        <f t="shared" ca="1" si="94"/>
        <v>2.06</v>
      </c>
      <c r="D210" s="306">
        <f t="shared" ca="1" si="95"/>
        <v>7.6547431721160786</v>
      </c>
      <c r="E210" s="307">
        <f t="shared" ca="1" si="96"/>
        <v>59.173426094014502</v>
      </c>
      <c r="F210" s="304">
        <f t="shared" ca="1" si="97"/>
        <v>59.666485138097869</v>
      </c>
      <c r="G210" s="306">
        <f t="shared" ca="1" si="98"/>
        <v>15.922167081502113</v>
      </c>
      <c r="H210" s="307">
        <f t="shared" ca="1" si="99"/>
        <v>143.39014139840066</v>
      </c>
      <c r="I210" s="304">
        <f t="shared" ca="1" si="100"/>
        <v>144.27143880486048</v>
      </c>
      <c r="J210" s="306">
        <f t="shared" ca="1" si="101"/>
        <v>15.818054655645556</v>
      </c>
      <c r="K210" s="307">
        <f t="shared" ca="1" si="102"/>
        <v>151.96861225358927</v>
      </c>
      <c r="L210" s="304">
        <f t="shared" ca="1" si="87"/>
        <v>152.78962649136474</v>
      </c>
      <c r="M210" s="306">
        <f t="shared" ca="1" si="103"/>
        <v>1.4602084835640206</v>
      </c>
      <c r="N210" s="304">
        <f t="shared" ca="1" si="104"/>
        <v>83.663783317416417</v>
      </c>
      <c r="P210" s="310">
        <f t="shared" ca="1" si="105"/>
        <v>8</v>
      </c>
      <c r="Q210" s="304">
        <f t="shared" ca="1" si="106"/>
        <v>900.68055555555543</v>
      </c>
      <c r="R210" s="306">
        <f t="shared" ca="1" si="107"/>
        <v>0.4511799470251579</v>
      </c>
      <c r="S210" s="307">
        <f t="shared" ca="1" si="108"/>
        <v>11.485251626376865</v>
      </c>
      <c r="T210" s="304">
        <f t="shared" ca="1" si="88"/>
        <v>112.67031845475705</v>
      </c>
      <c r="U210" s="311">
        <f t="shared" ca="1" si="89"/>
        <v>0</v>
      </c>
      <c r="V210" s="306">
        <f t="shared" ca="1" si="90"/>
        <v>1.2065242318413052</v>
      </c>
      <c r="W210" s="304">
        <f t="shared" ca="1" si="91"/>
        <v>104.37220534925504</v>
      </c>
      <c r="Y210" s="314" t="str">
        <f t="shared" ca="1" si="109"/>
        <v/>
      </c>
      <c r="Z210" s="315" t="str">
        <f t="shared" ca="1" si="110"/>
        <v/>
      </c>
      <c r="AA210" s="316" t="str">
        <f t="shared" ca="1" si="111"/>
        <v/>
      </c>
      <c r="AC210" s="310" t="e">
        <f t="shared" ca="1" si="112"/>
        <v>#N/A</v>
      </c>
      <c r="AD210" s="323" t="e">
        <f t="shared" ca="1" si="113"/>
        <v>#N/A</v>
      </c>
      <c r="AE210" s="324">
        <f t="shared" ca="1" si="92"/>
        <v>151.96861225358927</v>
      </c>
      <c r="AG210" s="306">
        <f t="shared" ca="1" si="114"/>
        <v>59.656675113726507</v>
      </c>
      <c r="AH210" s="304">
        <f t="shared" ca="1" si="115"/>
        <v>69.406830850424356</v>
      </c>
    </row>
    <row r="211" spans="1:34" x14ac:dyDescent="0.25">
      <c r="A211" s="347">
        <f t="shared" ca="1" si="93"/>
        <v>0.01</v>
      </c>
      <c r="B211" s="304">
        <f t="shared" ca="1" si="94"/>
        <v>2.0699999999999998</v>
      </c>
      <c r="D211" s="306">
        <f t="shared" ca="1" si="95"/>
        <v>7.6409521130109272</v>
      </c>
      <c r="E211" s="307">
        <f t="shared" ca="1" si="96"/>
        <v>59.002065486734026</v>
      </c>
      <c r="F211" s="304">
        <f t="shared" ca="1" si="97"/>
        <v>59.494771878663222</v>
      </c>
      <c r="G211" s="306">
        <f t="shared" ca="1" si="98"/>
        <v>15.998576602632223</v>
      </c>
      <c r="H211" s="307">
        <f t="shared" ca="1" si="99"/>
        <v>143.980162053268</v>
      </c>
      <c r="I211" s="304">
        <f t="shared" ca="1" si="100"/>
        <v>144.86628841174752</v>
      </c>
      <c r="J211" s="306">
        <f t="shared" ca="1" si="101"/>
        <v>15.977658374066227</v>
      </c>
      <c r="K211" s="307">
        <f t="shared" ca="1" si="102"/>
        <v>153.4054637708476</v>
      </c>
      <c r="L211" s="304">
        <f t="shared" ca="1" si="87"/>
        <v>154.2352809245252</v>
      </c>
      <c r="M211" s="306">
        <f t="shared" ca="1" si="103"/>
        <v>1.4601337486587393</v>
      </c>
      <c r="N211" s="304">
        <f t="shared" ca="1" si="104"/>
        <v>83.659501322761486</v>
      </c>
      <c r="P211" s="310">
        <f t="shared" ca="1" si="105"/>
        <v>8</v>
      </c>
      <c r="Q211" s="304">
        <f t="shared" ca="1" si="106"/>
        <v>899.24166666666667</v>
      </c>
      <c r="R211" s="306">
        <f t="shared" ca="1" si="107"/>
        <v>0.45045916116089163</v>
      </c>
      <c r="S211" s="307">
        <f t="shared" ca="1" si="108"/>
        <v>11.480747034765256</v>
      </c>
      <c r="T211" s="304">
        <f t="shared" ca="1" si="88"/>
        <v>112.62612841104718</v>
      </c>
      <c r="U211" s="311">
        <f t="shared" ca="1" si="89"/>
        <v>0</v>
      </c>
      <c r="V211" s="306">
        <f t="shared" ca="1" si="90"/>
        <v>1.2063508745748099</v>
      </c>
      <c r="W211" s="304">
        <f t="shared" ca="1" si="91"/>
        <v>105.21953916462742</v>
      </c>
      <c r="Y211" s="314" t="str">
        <f t="shared" ca="1" si="109"/>
        <v/>
      </c>
      <c r="Z211" s="315" t="str">
        <f t="shared" ca="1" si="110"/>
        <v/>
      </c>
      <c r="AA211" s="316" t="str">
        <f t="shared" ca="1" si="111"/>
        <v/>
      </c>
      <c r="AC211" s="310" t="e">
        <f t="shared" ca="1" si="112"/>
        <v>#N/A</v>
      </c>
      <c r="AD211" s="323" t="e">
        <f t="shared" ca="1" si="113"/>
        <v>#N/A</v>
      </c>
      <c r="AE211" s="324">
        <f t="shared" ca="1" si="92"/>
        <v>153.4054637708476</v>
      </c>
      <c r="AG211" s="306">
        <f t="shared" ca="1" si="114"/>
        <v>59.484920232572591</v>
      </c>
      <c r="AH211" s="304">
        <f t="shared" ca="1" si="115"/>
        <v>69.234994805689837</v>
      </c>
    </row>
    <row r="212" spans="1:34" x14ac:dyDescent="0.25">
      <c r="A212" s="347">
        <f t="shared" ca="1" si="93"/>
        <v>0.01</v>
      </c>
      <c r="B212" s="304">
        <f t="shared" ca="1" si="94"/>
        <v>2.0799999999999996</v>
      </c>
      <c r="D212" s="306">
        <f t="shared" ca="1" si="95"/>
        <v>7.627090653455884</v>
      </c>
      <c r="E212" s="307">
        <f t="shared" ca="1" si="96"/>
        <v>58.830465683607542</v>
      </c>
      <c r="F212" s="304">
        <f t="shared" ca="1" si="97"/>
        <v>59.322813523855714</v>
      </c>
      <c r="G212" s="306">
        <f t="shared" ca="1" si="98"/>
        <v>16.074847509166784</v>
      </c>
      <c r="H212" s="307">
        <f t="shared" ca="1" si="99"/>
        <v>144.56846671010408</v>
      </c>
      <c r="I212" s="304">
        <f t="shared" ca="1" si="100"/>
        <v>145.45941801531256</v>
      </c>
      <c r="J212" s="306">
        <f t="shared" ca="1" si="101"/>
        <v>16.138025494625222</v>
      </c>
      <c r="K212" s="307">
        <f t="shared" ca="1" si="102"/>
        <v>154.84820691466447</v>
      </c>
      <c r="L212" s="304">
        <f t="shared" ca="1" si="87"/>
        <v>155.68687501376573</v>
      </c>
      <c r="M212" s="306">
        <f t="shared" ca="1" si="103"/>
        <v>1.4600592684004694</v>
      </c>
      <c r="N212" s="304">
        <f t="shared" ca="1" si="104"/>
        <v>83.655233918305584</v>
      </c>
      <c r="P212" s="310">
        <f t="shared" ca="1" si="105"/>
        <v>8</v>
      </c>
      <c r="Q212" s="304">
        <f t="shared" ca="1" si="106"/>
        <v>897.80277777777781</v>
      </c>
      <c r="R212" s="306">
        <f t="shared" ca="1" si="107"/>
        <v>0.44973837529662536</v>
      </c>
      <c r="S212" s="307">
        <f t="shared" ca="1" si="108"/>
        <v>11.47624965101229</v>
      </c>
      <c r="T212" s="304">
        <f t="shared" ca="1" si="88"/>
        <v>112.58200907643058</v>
      </c>
      <c r="U212" s="311">
        <f t="shared" ca="1" si="89"/>
        <v>0</v>
      </c>
      <c r="V212" s="306">
        <f t="shared" ca="1" si="90"/>
        <v>1.2061768313486594</v>
      </c>
      <c r="W212" s="304">
        <f t="shared" ca="1" si="91"/>
        <v>106.06760405615104</v>
      </c>
      <c r="Y212" s="314" t="str">
        <f t="shared" ca="1" si="109"/>
        <v/>
      </c>
      <c r="Z212" s="315" t="str">
        <f t="shared" ca="1" si="110"/>
        <v/>
      </c>
      <c r="AA212" s="316" t="str">
        <f t="shared" ca="1" si="111"/>
        <v/>
      </c>
      <c r="AC212" s="310" t="e">
        <f t="shared" ca="1" si="112"/>
        <v>#N/A</v>
      </c>
      <c r="AD212" s="323" t="e">
        <f t="shared" ca="1" si="113"/>
        <v>#N/A</v>
      </c>
      <c r="AE212" s="324">
        <f t="shared" ca="1" si="92"/>
        <v>154.84820691466447</v>
      </c>
      <c r="AG212" s="306">
        <f t="shared" ca="1" si="114"/>
        <v>59.312920011090668</v>
      </c>
      <c r="AH212" s="304">
        <f t="shared" ca="1" si="115"/>
        <v>69.062913644723523</v>
      </c>
    </row>
    <row r="213" spans="1:34" x14ac:dyDescent="0.25">
      <c r="A213" s="347">
        <f t="shared" ca="1" si="93"/>
        <v>0.01</v>
      </c>
      <c r="B213" s="304">
        <f t="shared" ca="1" si="94"/>
        <v>2.0899999999999994</v>
      </c>
      <c r="D213" s="306">
        <f t="shared" ca="1" si="95"/>
        <v>7.6131594154534081</v>
      </c>
      <c r="E213" s="307">
        <f t="shared" ca="1" si="96"/>
        <v>58.658629819602041</v>
      </c>
      <c r="F213" s="304">
        <f t="shared" ca="1" si="97"/>
        <v>59.150613256315552</v>
      </c>
      <c r="G213" s="306">
        <f t="shared" ca="1" si="98"/>
        <v>16.150979103321319</v>
      </c>
      <c r="H213" s="307">
        <f t="shared" ca="1" si="99"/>
        <v>145.15505300830009</v>
      </c>
      <c r="I213" s="304">
        <f t="shared" ca="1" si="100"/>
        <v>146.05082519396572</v>
      </c>
      <c r="J213" s="306">
        <f t="shared" ca="1" si="101"/>
        <v>16.299154627687663</v>
      </c>
      <c r="K213" s="307">
        <f t="shared" ca="1" si="102"/>
        <v>156.2968245132565</v>
      </c>
      <c r="L213" s="304">
        <f t="shared" ca="1" si="87"/>
        <v>157.14439154645314</v>
      </c>
      <c r="M213" s="306">
        <f t="shared" ca="1" si="103"/>
        <v>1.4599850400159495</v>
      </c>
      <c r="N213" s="304">
        <f t="shared" ca="1" si="104"/>
        <v>83.650980945152511</v>
      </c>
      <c r="P213" s="310">
        <f t="shared" ca="1" si="105"/>
        <v>8</v>
      </c>
      <c r="Q213" s="304">
        <f t="shared" ca="1" si="106"/>
        <v>896.36388888888894</v>
      </c>
      <c r="R213" s="306">
        <f t="shared" ca="1" si="107"/>
        <v>0.44901758943235903</v>
      </c>
      <c r="S213" s="307">
        <f t="shared" ca="1" si="108"/>
        <v>11.471759475117967</v>
      </c>
      <c r="T213" s="304">
        <f t="shared" ca="1" si="88"/>
        <v>112.53796045090726</v>
      </c>
      <c r="U213" s="311">
        <f t="shared" ca="1" si="89"/>
        <v>0</v>
      </c>
      <c r="V213" s="306">
        <f t="shared" ca="1" si="90"/>
        <v>1.2060021045338161</v>
      </c>
      <c r="W213" s="304">
        <f t="shared" ca="1" si="91"/>
        <v>106.91636408514056</v>
      </c>
      <c r="Y213" s="314" t="str">
        <f t="shared" ca="1" si="109"/>
        <v/>
      </c>
      <c r="Z213" s="315" t="str">
        <f t="shared" ca="1" si="110"/>
        <v/>
      </c>
      <c r="AA213" s="316" t="str">
        <f t="shared" ca="1" si="111"/>
        <v/>
      </c>
      <c r="AC213" s="310" t="e">
        <f t="shared" ca="1" si="112"/>
        <v>#N/A</v>
      </c>
      <c r="AD213" s="323" t="e">
        <f t="shared" ca="1" si="113"/>
        <v>#N/A</v>
      </c>
      <c r="AE213" s="324">
        <f t="shared" ca="1" si="92"/>
        <v>156.2968245132565</v>
      </c>
      <c r="AG213" s="306">
        <f t="shared" ca="1" si="114"/>
        <v>59.140677629386985</v>
      </c>
      <c r="AH213" s="304">
        <f t="shared" ca="1" si="115"/>
        <v>68.890590545144875</v>
      </c>
    </row>
    <row r="214" spans="1:34" x14ac:dyDescent="0.25">
      <c r="A214" s="347">
        <f t="shared" ca="1" si="93"/>
        <v>0.01</v>
      </c>
      <c r="B214" s="304">
        <f t="shared" ca="1" si="94"/>
        <v>2.0999999999999992</v>
      </c>
      <c r="D214" s="306">
        <f t="shared" ca="1" si="95"/>
        <v>7.5991590173206474</v>
      </c>
      <c r="E214" s="307">
        <f t="shared" ca="1" si="96"/>
        <v>58.486561027117233</v>
      </c>
      <c r="F214" s="304">
        <f t="shared" ca="1" si="97"/>
        <v>58.978174255814615</v>
      </c>
      <c r="G214" s="306">
        <f t="shared" ca="1" si="98"/>
        <v>16.226970693494525</v>
      </c>
      <c r="H214" s="307">
        <f t="shared" ca="1" si="99"/>
        <v>145.73991861857127</v>
      </c>
      <c r="I214" s="304">
        <f t="shared" ca="1" si="100"/>
        <v>146.64050755788901</v>
      </c>
      <c r="J214" s="306">
        <f t="shared" ca="1" si="101"/>
        <v>16.461044376671744</v>
      </c>
      <c r="K214" s="307">
        <f t="shared" ca="1" si="102"/>
        <v>157.75129937139084</v>
      </c>
      <c r="L214" s="304">
        <f t="shared" ca="1" si="87"/>
        <v>158.60781328589374</v>
      </c>
      <c r="M214" s="306">
        <f t="shared" ca="1" si="103"/>
        <v>1.4599110607712955</v>
      </c>
      <c r="N214" s="304">
        <f t="shared" ca="1" si="104"/>
        <v>83.646742246662271</v>
      </c>
      <c r="P214" s="310">
        <f t="shared" ca="1" si="105"/>
        <v>8</v>
      </c>
      <c r="Q214" s="304">
        <f t="shared" ca="1" si="106"/>
        <v>894.92500000000007</v>
      </c>
      <c r="R214" s="306">
        <f t="shared" ca="1" si="107"/>
        <v>0.44829680356809271</v>
      </c>
      <c r="S214" s="307">
        <f t="shared" ca="1" si="108"/>
        <v>11.467276507082286</v>
      </c>
      <c r="T214" s="304">
        <f t="shared" ca="1" si="88"/>
        <v>112.49398253447723</v>
      </c>
      <c r="U214" s="311">
        <f t="shared" ca="1" si="89"/>
        <v>0</v>
      </c>
      <c r="V214" s="306">
        <f t="shared" ca="1" si="90"/>
        <v>1.2058266965039917</v>
      </c>
      <c r="W214" s="304">
        <f t="shared" ca="1" si="91"/>
        <v>107.76578341473088</v>
      </c>
      <c r="Y214" s="314" t="str">
        <f t="shared" ca="1" si="109"/>
        <v/>
      </c>
      <c r="Z214" s="315" t="str">
        <f t="shared" ca="1" si="110"/>
        <v/>
      </c>
      <c r="AA214" s="316" t="str">
        <f t="shared" ca="1" si="111"/>
        <v/>
      </c>
      <c r="AC214" s="310" t="e">
        <f t="shared" ca="1" si="112"/>
        <v>#N/A</v>
      </c>
      <c r="AD214" s="323" t="e">
        <f t="shared" ca="1" si="113"/>
        <v>#N/A</v>
      </c>
      <c r="AE214" s="324">
        <f t="shared" ca="1" si="92"/>
        <v>157.75129937139084</v>
      </c>
      <c r="AG214" s="306">
        <f t="shared" ca="1" si="114"/>
        <v>58.968196264677957</v>
      </c>
      <c r="AH214" s="304">
        <f t="shared" ca="1" si="115"/>
        <v>68.718028681716959</v>
      </c>
    </row>
    <row r="215" spans="1:34" x14ac:dyDescent="0.25">
      <c r="A215" s="347">
        <f t="shared" ca="1" si="93"/>
        <v>0.01</v>
      </c>
      <c r="B215" s="304">
        <f t="shared" ca="1" si="94"/>
        <v>2.109999999999999</v>
      </c>
      <c r="D215" s="306">
        <f t="shared" ca="1" si="95"/>
        <v>7.5850900737446008</v>
      </c>
      <c r="E215" s="307">
        <f t="shared" ca="1" si="96"/>
        <v>58.314262435825569</v>
      </c>
      <c r="F215" s="304">
        <f t="shared" ca="1" si="97"/>
        <v>58.805499699102597</v>
      </c>
      <c r="G215" s="306">
        <f t="shared" ca="1" si="98"/>
        <v>16.302821594231972</v>
      </c>
      <c r="H215" s="307">
        <f t="shared" ca="1" si="99"/>
        <v>146.32306124292953</v>
      </c>
      <c r="I215" s="304">
        <f t="shared" ca="1" si="100"/>
        <v>147.22846274900604</v>
      </c>
      <c r="J215" s="306">
        <f t="shared" ca="1" si="101"/>
        <v>16.623693338110375</v>
      </c>
      <c r="K215" s="307">
        <f t="shared" ca="1" si="102"/>
        <v>159.21161427069833</v>
      </c>
      <c r="L215" s="304">
        <f t="shared" ca="1" si="87"/>
        <v>160.07712297165128</v>
      </c>
      <c r="M215" s="306">
        <f t="shared" ca="1" si="103"/>
        <v>1.4598373279712324</v>
      </c>
      <c r="N215" s="304">
        <f t="shared" ca="1" si="104"/>
        <v>83.642517668406981</v>
      </c>
      <c r="P215" s="310">
        <f t="shared" ca="1" si="105"/>
        <v>8</v>
      </c>
      <c r="Q215" s="304">
        <f t="shared" ca="1" si="106"/>
        <v>893.4861111111112</v>
      </c>
      <c r="R215" s="306">
        <f t="shared" ca="1" si="107"/>
        <v>0.44757601770382643</v>
      </c>
      <c r="S215" s="307">
        <f t="shared" ca="1" si="108"/>
        <v>11.462800746905247</v>
      </c>
      <c r="T215" s="304">
        <f t="shared" ca="1" si="88"/>
        <v>112.45007532714048</v>
      </c>
      <c r="U215" s="311">
        <f t="shared" ca="1" si="89"/>
        <v>0</v>
      </c>
      <c r="V215" s="306">
        <f t="shared" ca="1" si="90"/>
        <v>1.2056506096355932</v>
      </c>
      <c r="W215" s="304">
        <f t="shared" ca="1" si="91"/>
        <v>108.61582631134758</v>
      </c>
      <c r="Y215" s="314" t="str">
        <f t="shared" ca="1" si="109"/>
        <v/>
      </c>
      <c r="Z215" s="315" t="str">
        <f t="shared" ca="1" si="110"/>
        <v/>
      </c>
      <c r="AA215" s="316" t="str">
        <f t="shared" ca="1" si="111"/>
        <v/>
      </c>
      <c r="AC215" s="310" t="e">
        <f t="shared" ca="1" si="112"/>
        <v>#N/A</v>
      </c>
      <c r="AD215" s="323" t="e">
        <f t="shared" ca="1" si="113"/>
        <v>#N/A</v>
      </c>
      <c r="AE215" s="324">
        <f t="shared" ca="1" si="92"/>
        <v>159.21161427069833</v>
      </c>
      <c r="AG215" s="306">
        <f t="shared" ca="1" si="114"/>
        <v>58.795479091135732</v>
      </c>
      <c r="AH215" s="304">
        <f t="shared" ca="1" si="115"/>
        <v>68.545231226191461</v>
      </c>
    </row>
    <row r="216" spans="1:34" x14ac:dyDescent="0.25">
      <c r="A216" s="347">
        <f t="shared" ca="1" si="93"/>
        <v>0.01</v>
      </c>
      <c r="B216" s="304">
        <f t="shared" ca="1" si="94"/>
        <v>2.1199999999999988</v>
      </c>
      <c r="D216" s="306">
        <f t="shared" ca="1" si="95"/>
        <v>7.5709531958357106</v>
      </c>
      <c r="E216" s="307">
        <f t="shared" ca="1" si="96"/>
        <v>58.141737172513089</v>
      </c>
      <c r="F216" s="304">
        <f t="shared" ca="1" si="97"/>
        <v>58.632592759753727</v>
      </c>
      <c r="G216" s="306">
        <f t="shared" ca="1" si="98"/>
        <v>16.378531126190328</v>
      </c>
      <c r="H216" s="307">
        <f t="shared" ca="1" si="99"/>
        <v>146.90447861465466</v>
      </c>
      <c r="I216" s="304">
        <f t="shared" ca="1" si="100"/>
        <v>147.81468844094999</v>
      </c>
      <c r="J216" s="306">
        <f t="shared" ca="1" si="101"/>
        <v>16.787100101712486</v>
      </c>
      <c r="K216" s="307">
        <f t="shared" ca="1" si="102"/>
        <v>160.67775196998625</v>
      </c>
      <c r="L216" s="304">
        <f t="shared" ca="1" si="87"/>
        <v>161.552303319864</v>
      </c>
      <c r="M216" s="306">
        <f t="shared" ca="1" si="103"/>
        <v>1.4597638389583494</v>
      </c>
      <c r="N216" s="304">
        <f t="shared" ca="1" si="104"/>
        <v>83.638307058128191</v>
      </c>
      <c r="P216" s="310">
        <f t="shared" ca="1" si="105"/>
        <v>8</v>
      </c>
      <c r="Q216" s="304">
        <f t="shared" ca="1" si="106"/>
        <v>892.04722222222233</v>
      </c>
      <c r="R216" s="306">
        <f t="shared" ca="1" si="107"/>
        <v>0.44685523183956011</v>
      </c>
      <c r="S216" s="307">
        <f t="shared" ca="1" si="108"/>
        <v>11.458332194586852</v>
      </c>
      <c r="T216" s="304">
        <f t="shared" ca="1" si="88"/>
        <v>112.40623882889702</v>
      </c>
      <c r="U216" s="311">
        <f t="shared" ca="1" si="89"/>
        <v>0</v>
      </c>
      <c r="V216" s="306">
        <f t="shared" ca="1" si="90"/>
        <v>1.205473846307672</v>
      </c>
      <c r="W216" s="304">
        <f t="shared" ca="1" si="91"/>
        <v>109.46645714616305</v>
      </c>
      <c r="Y216" s="314" t="str">
        <f t="shared" ca="1" si="109"/>
        <v/>
      </c>
      <c r="Z216" s="315" t="str">
        <f t="shared" ca="1" si="110"/>
        <v/>
      </c>
      <c r="AA216" s="316" t="str">
        <f t="shared" ca="1" si="111"/>
        <v/>
      </c>
      <c r="AC216" s="310" t="e">
        <f t="shared" ca="1" si="112"/>
        <v>#N/A</v>
      </c>
      <c r="AD216" s="323" t="e">
        <f t="shared" ca="1" si="113"/>
        <v>#N/A</v>
      </c>
      <c r="AE216" s="324">
        <f t="shared" ca="1" si="92"/>
        <v>160.67775196998625</v>
      </c>
      <c r="AG216" s="306">
        <f t="shared" ca="1" si="114"/>
        <v>58.622529279734685</v>
      </c>
      <c r="AH216" s="304">
        <f t="shared" ca="1" si="115"/>
        <v>68.372201347154473</v>
      </c>
    </row>
    <row r="217" spans="1:34" x14ac:dyDescent="0.25">
      <c r="A217" s="347">
        <f t="shared" ca="1" si="93"/>
        <v>0.01</v>
      </c>
      <c r="B217" s="304">
        <f t="shared" ca="1" si="94"/>
        <v>2.1299999999999986</v>
      </c>
      <c r="D217" s="306">
        <f t="shared" ca="1" si="95"/>
        <v>7.5567489911795329</v>
      </c>
      <c r="E217" s="307">
        <f t="shared" ca="1" si="96"/>
        <v>57.968988360921585</v>
      </c>
      <c r="F217" s="304">
        <f t="shared" ca="1" si="97"/>
        <v>58.459456608014719</v>
      </c>
      <c r="G217" s="306">
        <f t="shared" ca="1" si="98"/>
        <v>16.454098616102122</v>
      </c>
      <c r="H217" s="307">
        <f t="shared" ca="1" si="99"/>
        <v>147.48416849826387</v>
      </c>
      <c r="I217" s="304">
        <f t="shared" ca="1" si="100"/>
        <v>148.39918233903009</v>
      </c>
      <c r="J217" s="306">
        <f t="shared" ca="1" si="101"/>
        <v>16.951263250423949</v>
      </c>
      <c r="K217" s="307">
        <f t="shared" ca="1" si="102"/>
        <v>162.14969520555084</v>
      </c>
      <c r="L217" s="304">
        <f t="shared" ca="1" si="87"/>
        <v>163.03333702356156</v>
      </c>
      <c r="M217" s="306">
        <f t="shared" ca="1" si="103"/>
        <v>1.4596905911123697</v>
      </c>
      <c r="N217" s="304">
        <f t="shared" ca="1" si="104"/>
        <v>83.634110265695128</v>
      </c>
      <c r="P217" s="310">
        <f t="shared" ca="1" si="105"/>
        <v>8</v>
      </c>
      <c r="Q217" s="304">
        <f t="shared" ca="1" si="106"/>
        <v>890.60833333333346</v>
      </c>
      <c r="R217" s="306">
        <f t="shared" ca="1" si="107"/>
        <v>0.44613444597529378</v>
      </c>
      <c r="S217" s="307">
        <f t="shared" ca="1" si="108"/>
        <v>11.4538708501271</v>
      </c>
      <c r="T217" s="304">
        <f t="shared" ca="1" si="88"/>
        <v>112.36247303974686</v>
      </c>
      <c r="U217" s="311">
        <f t="shared" ca="1" si="89"/>
        <v>0</v>
      </c>
      <c r="V217" s="306">
        <f t="shared" ca="1" si="90"/>
        <v>1.2052964089018712</v>
      </c>
      <c r="W217" s="304">
        <f t="shared" ca="1" si="91"/>
        <v>110.31764039653807</v>
      </c>
      <c r="Y217" s="314" t="str">
        <f t="shared" ca="1" si="109"/>
        <v/>
      </c>
      <c r="Z217" s="315" t="str">
        <f t="shared" ca="1" si="110"/>
        <v/>
      </c>
      <c r="AA217" s="316" t="str">
        <f t="shared" ca="1" si="111"/>
        <v/>
      </c>
      <c r="AC217" s="310" t="e">
        <f t="shared" ca="1" si="112"/>
        <v>#N/A</v>
      </c>
      <c r="AD217" s="323" t="e">
        <f t="shared" ca="1" si="113"/>
        <v>#N/A</v>
      </c>
      <c r="AE217" s="324">
        <f t="shared" ca="1" si="92"/>
        <v>162.14969520555084</v>
      </c>
      <c r="AG217" s="306">
        <f t="shared" ca="1" si="114"/>
        <v>58.449349998098782</v>
      </c>
      <c r="AH217" s="304">
        <f t="shared" ca="1" si="115"/>
        <v>68.198942209873294</v>
      </c>
    </row>
    <row r="218" spans="1:34" x14ac:dyDescent="0.25">
      <c r="A218" s="347">
        <f t="shared" ca="1" si="93"/>
        <v>0.01</v>
      </c>
      <c r="B218" s="304">
        <f t="shared" ca="1" si="94"/>
        <v>2.1399999999999983</v>
      </c>
      <c r="D218" s="306">
        <f t="shared" ca="1" si="95"/>
        <v>7.542478063886894</v>
      </c>
      <c r="E218" s="307">
        <f t="shared" ca="1" si="96"/>
        <v>57.796019121591584</v>
      </c>
      <c r="F218" s="304">
        <f t="shared" ca="1" si="97"/>
        <v>58.286094410653341</v>
      </c>
      <c r="G218" s="306">
        <f t="shared" ca="1" si="98"/>
        <v>16.529523396740991</v>
      </c>
      <c r="H218" s="307">
        <f t="shared" ca="1" si="99"/>
        <v>148.06212868947978</v>
      </c>
      <c r="I218" s="304">
        <f t="shared" ca="1" si="100"/>
        <v>148.98194218019674</v>
      </c>
      <c r="J218" s="306">
        <f t="shared" ca="1" si="101"/>
        <v>17.116181360488163</v>
      </c>
      <c r="K218" s="307">
        <f t="shared" ca="1" si="102"/>
        <v>163.62742669148955</v>
      </c>
      <c r="L218" s="304">
        <f t="shared" ca="1" si="87"/>
        <v>164.52020675298189</v>
      </c>
      <c r="M218" s="306">
        <f t="shared" ca="1" si="103"/>
        <v>1.459617581849439</v>
      </c>
      <c r="N218" s="304">
        <f t="shared" ca="1" si="104"/>
        <v>83.629927143063853</v>
      </c>
      <c r="P218" s="310">
        <f t="shared" ca="1" si="105"/>
        <v>8</v>
      </c>
      <c r="Q218" s="304">
        <f t="shared" ca="1" si="106"/>
        <v>889.16944444444459</v>
      </c>
      <c r="R218" s="306">
        <f t="shared" ca="1" si="107"/>
        <v>0.44541366011102751</v>
      </c>
      <c r="S218" s="307">
        <f t="shared" ca="1" si="108"/>
        <v>11.44941671352599</v>
      </c>
      <c r="T218" s="304">
        <f t="shared" ca="1" si="88"/>
        <v>112.31877795968997</v>
      </c>
      <c r="U218" s="311">
        <f t="shared" ca="1" si="89"/>
        <v>0</v>
      </c>
      <c r="V218" s="306">
        <f t="shared" ca="1" si="90"/>
        <v>1.2051182998023724</v>
      </c>
      <c r="W218" s="304">
        <f t="shared" ca="1" si="91"/>
        <v>111.16934064744898</v>
      </c>
      <c r="Y218" s="314" t="str">
        <f t="shared" ca="1" si="109"/>
        <v/>
      </c>
      <c r="Z218" s="315" t="str">
        <f t="shared" ca="1" si="110"/>
        <v/>
      </c>
      <c r="AA218" s="316" t="str">
        <f t="shared" ca="1" si="111"/>
        <v/>
      </c>
      <c r="AC218" s="310" t="e">
        <f t="shared" ca="1" si="112"/>
        <v>#N/A</v>
      </c>
      <c r="AD218" s="323" t="e">
        <f t="shared" ca="1" si="113"/>
        <v>#N/A</v>
      </c>
      <c r="AE218" s="324">
        <f t="shared" ca="1" si="92"/>
        <v>163.62742669148955</v>
      </c>
      <c r="AG218" s="306">
        <f t="shared" ca="1" si="114"/>
        <v>58.275944410349759</v>
      </c>
      <c r="AH218" s="304">
        <f t="shared" ca="1" si="115"/>
        <v>68.025456976144028</v>
      </c>
    </row>
    <row r="219" spans="1:34" x14ac:dyDescent="0.25">
      <c r="A219" s="347">
        <f t="shared" ca="1" si="93"/>
        <v>0.01</v>
      </c>
      <c r="B219" s="304">
        <f t="shared" ca="1" si="94"/>
        <v>2.1499999999999981</v>
      </c>
      <c r="D219" s="306">
        <f t="shared" ca="1" si="95"/>
        <v>7.528141014642447</v>
      </c>
      <c r="E219" s="307">
        <f t="shared" ca="1" si="96"/>
        <v>57.622832571706553</v>
      </c>
      <c r="F219" s="304">
        <f t="shared" ca="1" si="97"/>
        <v>58.11250933080818</v>
      </c>
      <c r="G219" s="306">
        <f t="shared" ca="1" si="98"/>
        <v>16.604804806887415</v>
      </c>
      <c r="H219" s="307">
        <f t="shared" ca="1" si="99"/>
        <v>148.63835701519685</v>
      </c>
      <c r="I219" s="304">
        <f t="shared" ca="1" si="100"/>
        <v>149.56296573300475</v>
      </c>
      <c r="J219" s="306">
        <f t="shared" ca="1" si="101"/>
        <v>17.281853001506306</v>
      </c>
      <c r="K219" s="307">
        <f t="shared" ca="1" si="102"/>
        <v>165.11092912001294</v>
      </c>
      <c r="L219" s="304">
        <f t="shared" ca="1" si="87"/>
        <v>166.01289515588724</v>
      </c>
      <c r="M219" s="306">
        <f t="shared" ca="1" si="103"/>
        <v>1.4595448086214313</v>
      </c>
      <c r="N219" s="304">
        <f t="shared" ca="1" si="104"/>
        <v>83.625757544237459</v>
      </c>
      <c r="P219" s="310">
        <f t="shared" ca="1" si="105"/>
        <v>8</v>
      </c>
      <c r="Q219" s="304">
        <f t="shared" ca="1" si="106"/>
        <v>887.73055555555584</v>
      </c>
      <c r="R219" s="306">
        <f t="shared" ca="1" si="107"/>
        <v>0.44469287424676124</v>
      </c>
      <c r="S219" s="307">
        <f t="shared" ca="1" si="108"/>
        <v>11.444969784783522</v>
      </c>
      <c r="T219" s="304">
        <f t="shared" ca="1" si="88"/>
        <v>112.27515358872635</v>
      </c>
      <c r="U219" s="311">
        <f t="shared" ca="1" si="89"/>
        <v>0</v>
      </c>
      <c r="V219" s="306">
        <f t="shared" ca="1" si="90"/>
        <v>1.2049395213958449</v>
      </c>
      <c r="W219" s="304">
        <f t="shared" ca="1" si="91"/>
        <v>112.02152259290004</v>
      </c>
      <c r="Y219" s="314" t="str">
        <f t="shared" ca="1" si="109"/>
        <v/>
      </c>
      <c r="Z219" s="315" t="str">
        <f t="shared" ca="1" si="110"/>
        <v/>
      </c>
      <c r="AA219" s="316" t="str">
        <f t="shared" ca="1" si="111"/>
        <v/>
      </c>
      <c r="AC219" s="310" t="e">
        <f t="shared" ca="1" si="112"/>
        <v>#N/A</v>
      </c>
      <c r="AD219" s="323" t="e">
        <f t="shared" ca="1" si="113"/>
        <v>#N/A</v>
      </c>
      <c r="AE219" s="324">
        <f t="shared" ca="1" si="92"/>
        <v>165.11092912001294</v>
      </c>
      <c r="AG219" s="306">
        <f t="shared" ca="1" si="114"/>
        <v>58.102315676956437</v>
      </c>
      <c r="AH219" s="304">
        <f t="shared" ca="1" si="115"/>
        <v>67.851748804140271</v>
      </c>
    </row>
    <row r="220" spans="1:34" x14ac:dyDescent="0.25">
      <c r="A220" s="347">
        <f t="shared" ca="1" si="93"/>
        <v>0.01</v>
      </c>
      <c r="B220" s="304">
        <f t="shared" ca="1" si="94"/>
        <v>2.1599999999999979</v>
      </c>
      <c r="D220" s="306">
        <f t="shared" ca="1" si="95"/>
        <v>7.5137384407516423</v>
      </c>
      <c r="E220" s="307">
        <f t="shared" ca="1" si="96"/>
        <v>57.449431824938202</v>
      </c>
      <c r="F220" s="304">
        <f t="shared" ca="1" si="97"/>
        <v>57.938704527839171</v>
      </c>
      <c r="G220" s="306">
        <f t="shared" ca="1" si="98"/>
        <v>16.679942191294931</v>
      </c>
      <c r="H220" s="307">
        <f t="shared" ca="1" si="99"/>
        <v>149.21285133344622</v>
      </c>
      <c r="I220" s="304">
        <f t="shared" ca="1" si="100"/>
        <v>150.14225079757551</v>
      </c>
      <c r="J220" s="306">
        <f t="shared" ca="1" si="101"/>
        <v>17.448276736497217</v>
      </c>
      <c r="K220" s="307">
        <f t="shared" ca="1" si="102"/>
        <v>166.60018516175614</v>
      </c>
      <c r="L220" s="304">
        <f t="shared" ca="1" si="87"/>
        <v>167.5113848578801</v>
      </c>
      <c r="M220" s="306">
        <f t="shared" ca="1" si="103"/>
        <v>1.4594722689152713</v>
      </c>
      <c r="N220" s="304">
        <f t="shared" ca="1" si="104"/>
        <v>83.621601325227374</v>
      </c>
      <c r="P220" s="310">
        <f t="shared" ca="1" si="105"/>
        <v>8</v>
      </c>
      <c r="Q220" s="304">
        <f t="shared" ca="1" si="106"/>
        <v>886.29166666666697</v>
      </c>
      <c r="R220" s="306">
        <f t="shared" ca="1" si="107"/>
        <v>0.44397208838249497</v>
      </c>
      <c r="S220" s="307">
        <f t="shared" ca="1" si="108"/>
        <v>11.440530063899697</v>
      </c>
      <c r="T220" s="304">
        <f t="shared" ca="1" si="88"/>
        <v>112.23159992685603</v>
      </c>
      <c r="U220" s="311">
        <f t="shared" ca="1" si="89"/>
        <v>0</v>
      </c>
      <c r="V220" s="306">
        <f t="shared" ca="1" si="90"/>
        <v>1.2047600760713935</v>
      </c>
      <c r="W220" s="304">
        <f t="shared" ca="1" si="91"/>
        <v>112.87415103732171</v>
      </c>
      <c r="Y220" s="314" t="str">
        <f t="shared" ca="1" si="109"/>
        <v/>
      </c>
      <c r="Z220" s="315" t="str">
        <f t="shared" ca="1" si="110"/>
        <v/>
      </c>
      <c r="AA220" s="316" t="str">
        <f t="shared" ca="1" si="111"/>
        <v/>
      </c>
      <c r="AC220" s="310" t="e">
        <f t="shared" ca="1" si="112"/>
        <v>#N/A</v>
      </c>
      <c r="AD220" s="323" t="e">
        <f t="shared" ca="1" si="113"/>
        <v>#N/A</v>
      </c>
      <c r="AE220" s="324">
        <f t="shared" ca="1" si="92"/>
        <v>166.60018516175614</v>
      </c>
      <c r="AG220" s="306">
        <f t="shared" ca="1" si="114"/>
        <v>57.928466954584806</v>
      </c>
      <c r="AH220" s="304">
        <f t="shared" ca="1" si="115"/>
        <v>67.677820848262684</v>
      </c>
    </row>
    <row r="221" spans="1:34" x14ac:dyDescent="0.25">
      <c r="A221" s="347">
        <f t="shared" ca="1" si="93"/>
        <v>0.01</v>
      </c>
      <c r="B221" s="304">
        <f t="shared" ca="1" si="94"/>
        <v>2.1699999999999977</v>
      </c>
      <c r="D221" s="306">
        <f t="shared" ca="1" si="95"/>
        <v>7.4992709361861687</v>
      </c>
      <c r="E221" s="307">
        <f t="shared" ca="1" si="96"/>
        <v>57.275819991292806</v>
      </c>
      <c r="F221" s="304">
        <f t="shared" ca="1" si="97"/>
        <v>57.764683157179206</v>
      </c>
      <c r="G221" s="306">
        <f t="shared" ca="1" si="98"/>
        <v>16.754934900656792</v>
      </c>
      <c r="H221" s="307">
        <f t="shared" ca="1" si="99"/>
        <v>149.78560953335915</v>
      </c>
      <c r="I221" s="304">
        <f t="shared" ca="1" si="100"/>
        <v>150.71979520555746</v>
      </c>
      <c r="J221" s="306">
        <f t="shared" ca="1" si="101"/>
        <v>17.615451121956976</v>
      </c>
      <c r="K221" s="307">
        <f t="shared" ca="1" si="102"/>
        <v>168.09517746609018</v>
      </c>
      <c r="L221" s="304">
        <f t="shared" ca="1" si="87"/>
        <v>169.01565846271879</v>
      </c>
      <c r="M221" s="306">
        <f t="shared" ca="1" si="103"/>
        <v>1.4593999602522705</v>
      </c>
      <c r="N221" s="304">
        <f t="shared" ca="1" si="104"/>
        <v>83.617458344015191</v>
      </c>
      <c r="P221" s="310">
        <f t="shared" ca="1" si="105"/>
        <v>8</v>
      </c>
      <c r="Q221" s="304">
        <f t="shared" ca="1" si="106"/>
        <v>884.8527777777781</v>
      </c>
      <c r="R221" s="306">
        <f t="shared" ca="1" si="107"/>
        <v>0.44325130251822864</v>
      </c>
      <c r="S221" s="307">
        <f t="shared" ca="1" si="108"/>
        <v>11.436097550874514</v>
      </c>
      <c r="T221" s="304">
        <f t="shared" ca="1" si="88"/>
        <v>112.18811697407899</v>
      </c>
      <c r="U221" s="311">
        <f t="shared" ca="1" si="89"/>
        <v>0</v>
      </c>
      <c r="V221" s="306">
        <f t="shared" ca="1" si="90"/>
        <v>1.2045799662205054</v>
      </c>
      <c r="W221" s="304">
        <f t="shared" ca="1" si="91"/>
        <v>113.7271908969538</v>
      </c>
      <c r="Y221" s="314" t="str">
        <f t="shared" ca="1" si="109"/>
        <v/>
      </c>
      <c r="Z221" s="315" t="str">
        <f t="shared" ca="1" si="110"/>
        <v/>
      </c>
      <c r="AA221" s="316" t="str">
        <f t="shared" ca="1" si="111"/>
        <v/>
      </c>
      <c r="AC221" s="310" t="e">
        <f t="shared" ca="1" si="112"/>
        <v>#N/A</v>
      </c>
      <c r="AD221" s="323" t="e">
        <f t="shared" ca="1" si="113"/>
        <v>#N/A</v>
      </c>
      <c r="AE221" s="324">
        <f t="shared" ca="1" si="92"/>
        <v>168.09517746609018</v>
      </c>
      <c r="AG221" s="306">
        <f t="shared" ca="1" si="114"/>
        <v>57.754401395949159</v>
      </c>
      <c r="AH221" s="304">
        <f t="shared" ca="1" si="115"/>
        <v>67.503676258989543</v>
      </c>
    </row>
    <row r="222" spans="1:34" x14ac:dyDescent="0.25">
      <c r="A222" s="347">
        <f t="shared" ca="1" si="93"/>
        <v>0.01</v>
      </c>
      <c r="B222" s="304">
        <f t="shared" ca="1" si="94"/>
        <v>2.1799999999999975</v>
      </c>
      <c r="D222" s="306">
        <f t="shared" ca="1" si="95"/>
        <v>7.4847390916281178</v>
      </c>
      <c r="E222" s="307">
        <f t="shared" ca="1" si="96"/>
        <v>57.102000176958626</v>
      </c>
      <c r="F222" s="304">
        <f t="shared" ca="1" si="97"/>
        <v>57.5904483701866</v>
      </c>
      <c r="G222" s="306">
        <f t="shared" ca="1" si="98"/>
        <v>16.829782291573075</v>
      </c>
      <c r="H222" s="307">
        <f t="shared" ca="1" si="99"/>
        <v>150.35662953512875</v>
      </c>
      <c r="I222" s="304">
        <f t="shared" ca="1" si="100"/>
        <v>151.29559682008494</v>
      </c>
      <c r="J222" s="306">
        <f t="shared" ca="1" si="101"/>
        <v>17.783374707918124</v>
      </c>
      <c r="K222" s="307">
        <f t="shared" ca="1" si="102"/>
        <v>169.59588866143261</v>
      </c>
      <c r="L222" s="304">
        <f t="shared" ca="1" si="87"/>
        <v>170.52569855263243</v>
      </c>
      <c r="M222" s="306">
        <f t="shared" ca="1" si="103"/>
        <v>1.4593278801874834</v>
      </c>
      <c r="N222" s="304">
        <f t="shared" ca="1" si="104"/>
        <v>83.613328460515859</v>
      </c>
      <c r="P222" s="310">
        <f t="shared" ca="1" si="105"/>
        <v>8</v>
      </c>
      <c r="Q222" s="304">
        <f t="shared" ca="1" si="106"/>
        <v>883.41388888888923</v>
      </c>
      <c r="R222" s="306">
        <f t="shared" ca="1" si="107"/>
        <v>0.44253051665396231</v>
      </c>
      <c r="S222" s="307">
        <f t="shared" ca="1" si="108"/>
        <v>11.431672245707974</v>
      </c>
      <c r="T222" s="304">
        <f t="shared" ca="1" si="88"/>
        <v>112.14470473039523</v>
      </c>
      <c r="U222" s="311">
        <f t="shared" ca="1" si="89"/>
        <v>0</v>
      </c>
      <c r="V222" s="306">
        <f t="shared" ca="1" si="90"/>
        <v>1.2043991942370005</v>
      </c>
      <c r="W222" s="304">
        <f t="shared" ca="1" si="91"/>
        <v>114.58060720121382</v>
      </c>
      <c r="Y222" s="314" t="str">
        <f t="shared" ca="1" si="109"/>
        <v/>
      </c>
      <c r="Z222" s="315" t="str">
        <f t="shared" ca="1" si="110"/>
        <v/>
      </c>
      <c r="AA222" s="316" t="str">
        <f t="shared" ca="1" si="111"/>
        <v/>
      </c>
      <c r="AC222" s="310" t="e">
        <f t="shared" ca="1" si="112"/>
        <v>#N/A</v>
      </c>
      <c r="AD222" s="323" t="e">
        <f t="shared" ca="1" si="113"/>
        <v>#N/A</v>
      </c>
      <c r="AE222" s="324">
        <f t="shared" ca="1" si="92"/>
        <v>169.59588866143261</v>
      </c>
      <c r="AG222" s="306">
        <f t="shared" ca="1" si="114"/>
        <v>57.580122149664135</v>
      </c>
      <c r="AH222" s="304">
        <f t="shared" ca="1" si="115"/>
        <v>67.32931818272823</v>
      </c>
    </row>
    <row r="223" spans="1:34" x14ac:dyDescent="0.25">
      <c r="A223" s="347">
        <f t="shared" ca="1" si="93"/>
        <v>0.01</v>
      </c>
      <c r="B223" s="304">
        <f t="shared" ca="1" si="94"/>
        <v>2.1899999999999973</v>
      </c>
      <c r="D223" s="306">
        <f t="shared" ca="1" si="95"/>
        <v>7.4701434945124578</v>
      </c>
      <c r="E223" s="307">
        <f t="shared" ca="1" si="96"/>
        <v>56.927975484154473</v>
      </c>
      <c r="F223" s="304">
        <f t="shared" ca="1" si="97"/>
        <v>57.416003313998615</v>
      </c>
      <c r="G223" s="306">
        <f t="shared" ca="1" si="98"/>
        <v>16.904483726518201</v>
      </c>
      <c r="H223" s="307">
        <f t="shared" ca="1" si="99"/>
        <v>150.92590928997029</v>
      </c>
      <c r="I223" s="304">
        <f t="shared" ca="1" si="100"/>
        <v>151.86965353573589</v>
      </c>
      <c r="J223" s="306">
        <f t="shared" ca="1" si="101"/>
        <v>17.952046038008582</v>
      </c>
      <c r="K223" s="307">
        <f t="shared" ca="1" si="102"/>
        <v>171.1023013555581</v>
      </c>
      <c r="L223" s="304">
        <f t="shared" ca="1" si="87"/>
        <v>172.04148768863573</v>
      </c>
      <c r="M223" s="306">
        <f t="shared" ca="1" si="103"/>
        <v>1.4592560263090741</v>
      </c>
      <c r="N223" s="304">
        <f t="shared" ca="1" si="104"/>
        <v>83.609211536541366</v>
      </c>
      <c r="P223" s="310">
        <f t="shared" ca="1" si="105"/>
        <v>8</v>
      </c>
      <c r="Q223" s="304">
        <f t="shared" ca="1" si="106"/>
        <v>881.97500000000036</v>
      </c>
      <c r="R223" s="306">
        <f t="shared" ca="1" si="107"/>
        <v>0.44180973078969604</v>
      </c>
      <c r="S223" s="307">
        <f t="shared" ca="1" si="108"/>
        <v>11.427254148400078</v>
      </c>
      <c r="T223" s="304">
        <f t="shared" ca="1" si="88"/>
        <v>112.10136319580477</v>
      </c>
      <c r="U223" s="311">
        <f t="shared" ca="1" si="89"/>
        <v>0</v>
      </c>
      <c r="V223" s="306">
        <f t="shared" ca="1" si="90"/>
        <v>1.2042177625169774</v>
      </c>
      <c r="W223" s="304">
        <f t="shared" ca="1" si="91"/>
        <v>115.43436509405112</v>
      </c>
      <c r="Y223" s="314" t="str">
        <f t="shared" ca="1" si="109"/>
        <v/>
      </c>
      <c r="Z223" s="315" t="str">
        <f t="shared" ca="1" si="110"/>
        <v/>
      </c>
      <c r="AA223" s="316" t="str">
        <f t="shared" ca="1" si="111"/>
        <v/>
      </c>
      <c r="AC223" s="310" t="e">
        <f t="shared" ca="1" si="112"/>
        <v>#N/A</v>
      </c>
      <c r="AD223" s="323" t="e">
        <f t="shared" ca="1" si="113"/>
        <v>#N/A</v>
      </c>
      <c r="AE223" s="324">
        <f t="shared" ca="1" si="92"/>
        <v>171.1023013555581</v>
      </c>
      <c r="AG223" s="306">
        <f t="shared" ca="1" si="114"/>
        <v>57.405632360097691</v>
      </c>
      <c r="AH223" s="304">
        <f t="shared" ca="1" si="115"/>
        <v>67.154749761667716</v>
      </c>
    </row>
    <row r="224" spans="1:34" x14ac:dyDescent="0.25">
      <c r="A224" s="347">
        <f t="shared" ca="1" si="93"/>
        <v>0.01</v>
      </c>
      <c r="B224" s="304">
        <f t="shared" ca="1" si="94"/>
        <v>2.1999999999999971</v>
      </c>
      <c r="D224" s="306">
        <f t="shared" ca="1" si="95"/>
        <v>7.4554847290684414</v>
      </c>
      <c r="E224" s="307">
        <f t="shared" ca="1" si="96"/>
        <v>56.753749010979362</v>
      </c>
      <c r="F224" s="304">
        <f t="shared" ca="1" si="97"/>
        <v>57.241351131385898</v>
      </c>
      <c r="G224" s="306">
        <f t="shared" ca="1" si="98"/>
        <v>16.979038573808886</v>
      </c>
      <c r="H224" s="307">
        <f t="shared" ca="1" si="99"/>
        <v>151.49344678008009</v>
      </c>
      <c r="I224" s="304">
        <f t="shared" ca="1" si="100"/>
        <v>152.44196327848789</v>
      </c>
      <c r="J224" s="306">
        <f t="shared" ca="1" si="101"/>
        <v>18.121463649510218</v>
      </c>
      <c r="K224" s="307">
        <f t="shared" ca="1" si="102"/>
        <v>172.61439813590835</v>
      </c>
      <c r="L224" s="304">
        <f t="shared" ca="1" si="87"/>
        <v>173.56300841084311</v>
      </c>
      <c r="M224" s="306">
        <f t="shared" ca="1" si="103"/>
        <v>1.4591843962377007</v>
      </c>
      <c r="N224" s="304">
        <f t="shared" ca="1" si="104"/>
        <v>83.605107435765447</v>
      </c>
      <c r="P224" s="310">
        <f t="shared" ca="1" si="105"/>
        <v>8</v>
      </c>
      <c r="Q224" s="304">
        <f t="shared" ca="1" si="106"/>
        <v>880.5361111111115</v>
      </c>
      <c r="R224" s="306">
        <f t="shared" ca="1" si="107"/>
        <v>0.44108894492542972</v>
      </c>
      <c r="S224" s="307">
        <f t="shared" ca="1" si="108"/>
        <v>11.422843258950824</v>
      </c>
      <c r="T224" s="304">
        <f t="shared" ca="1" si="88"/>
        <v>112.05809237030759</v>
      </c>
      <c r="U224" s="311">
        <f t="shared" ca="1" si="89"/>
        <v>0</v>
      </c>
      <c r="V224" s="306">
        <f t="shared" ca="1" si="90"/>
        <v>1.2040356734587632</v>
      </c>
      <c r="W224" s="304">
        <f t="shared" ca="1" si="91"/>
        <v>116.28842983528551</v>
      </c>
      <c r="Y224" s="314" t="str">
        <f t="shared" ca="1" si="109"/>
        <v/>
      </c>
      <c r="Z224" s="315" t="str">
        <f t="shared" ca="1" si="110"/>
        <v/>
      </c>
      <c r="AA224" s="316" t="str">
        <f t="shared" ca="1" si="111"/>
        <v/>
      </c>
      <c r="AC224" s="310" t="e">
        <f t="shared" ca="1" si="112"/>
        <v>#N/A</v>
      </c>
      <c r="AD224" s="323" t="e">
        <f t="shared" ca="1" si="113"/>
        <v>#N/A</v>
      </c>
      <c r="AE224" s="324">
        <f t="shared" ca="1" si="92"/>
        <v>172.61439813590835</v>
      </c>
      <c r="AG224" s="306">
        <f t="shared" ca="1" si="114"/>
        <v>57.230935167225198</v>
      </c>
      <c r="AH224" s="304">
        <f t="shared" ca="1" si="115"/>
        <v>66.979974133632126</v>
      </c>
    </row>
    <row r="225" spans="1:34" x14ac:dyDescent="0.25">
      <c r="A225" s="347">
        <f t="shared" ca="1" si="93"/>
        <v>0.01</v>
      </c>
      <c r="B225" s="304">
        <f t="shared" ca="1" si="94"/>
        <v>2.2099999999999969</v>
      </c>
      <c r="D225" s="306">
        <f t="shared" ca="1" si="95"/>
        <v>7.4407633763595094</v>
      </c>
      <c r="E225" s="307">
        <f t="shared" ca="1" si="96"/>
        <v>56.579323851263268</v>
      </c>
      <c r="F225" s="304">
        <f t="shared" ca="1" si="97"/>
        <v>57.066494960608026</v>
      </c>
      <c r="G225" s="306">
        <f t="shared" ca="1" si="98"/>
        <v>17.053446207572481</v>
      </c>
      <c r="H225" s="307">
        <f t="shared" ca="1" si="99"/>
        <v>152.05924001859273</v>
      </c>
      <c r="I225" s="304">
        <f t="shared" ca="1" si="100"/>
        <v>153.01252400567267</v>
      </c>
      <c r="J225" s="306">
        <f t="shared" ca="1" si="101"/>
        <v>18.291626073417124</v>
      </c>
      <c r="K225" s="307">
        <f t="shared" ca="1" si="102"/>
        <v>174.13216156990171</v>
      </c>
      <c r="L225" s="304">
        <f t="shared" ca="1" si="87"/>
        <v>175.09024323878265</v>
      </c>
      <c r="M225" s="306">
        <f t="shared" ca="1" si="103"/>
        <v>1.4591129876259123</v>
      </c>
      <c r="N225" s="304">
        <f t="shared" ca="1" si="104"/>
        <v>83.601016023689084</v>
      </c>
      <c r="P225" s="310">
        <f t="shared" ca="1" si="105"/>
        <v>8</v>
      </c>
      <c r="Q225" s="304">
        <f t="shared" ca="1" si="106"/>
        <v>879.09722222222263</v>
      </c>
      <c r="R225" s="306">
        <f t="shared" ca="1" si="107"/>
        <v>0.44036815906116339</v>
      </c>
      <c r="S225" s="307">
        <f t="shared" ca="1" si="108"/>
        <v>11.418439577360212</v>
      </c>
      <c r="T225" s="304">
        <f t="shared" ca="1" si="88"/>
        <v>112.01489225390368</v>
      </c>
      <c r="U225" s="311">
        <f t="shared" ca="1" si="89"/>
        <v>0</v>
      </c>
      <c r="V225" s="306">
        <f t="shared" ca="1" si="90"/>
        <v>1.2038529294628622</v>
      </c>
      <c r="W225" s="304">
        <f t="shared" ca="1" si="91"/>
        <v>117.14276680193147</v>
      </c>
      <c r="Y225" s="314" t="str">
        <f t="shared" ca="1" si="109"/>
        <v/>
      </c>
      <c r="Z225" s="315" t="str">
        <f t="shared" ca="1" si="110"/>
        <v/>
      </c>
      <c r="AA225" s="316" t="str">
        <f t="shared" ca="1" si="111"/>
        <v/>
      </c>
      <c r="AC225" s="310" t="e">
        <f t="shared" ca="1" si="112"/>
        <v>#N/A</v>
      </c>
      <c r="AD225" s="323" t="e">
        <f t="shared" ca="1" si="113"/>
        <v>#N/A</v>
      </c>
      <c r="AE225" s="324">
        <f t="shared" ca="1" si="92"/>
        <v>174.13216156990171</v>
      </c>
      <c r="AG225" s="306">
        <f t="shared" ca="1" si="114"/>
        <v>57.056033706484392</v>
      </c>
      <c r="AH225" s="304">
        <f t="shared" ca="1" si="115"/>
        <v>66.804994431935157</v>
      </c>
    </row>
    <row r="226" spans="1:34" x14ac:dyDescent="0.25">
      <c r="A226" s="347">
        <f t="shared" ca="1" si="93"/>
        <v>0.01</v>
      </c>
      <c r="B226" s="304">
        <f t="shared" ca="1" si="94"/>
        <v>2.2199999999999966</v>
      </c>
      <c r="D226" s="306">
        <f t="shared" ca="1" si="95"/>
        <v>7.425980014321973</v>
      </c>
      <c r="E226" s="307">
        <f t="shared" ca="1" si="96"/>
        <v>56.404703094418991</v>
      </c>
      <c r="F226" s="304">
        <f t="shared" ca="1" si="97"/>
        <v>56.891437935269913</v>
      </c>
      <c r="G226" s="306">
        <f t="shared" ca="1" si="98"/>
        <v>17.127706007715702</v>
      </c>
      <c r="H226" s="307">
        <f t="shared" ca="1" si="99"/>
        <v>152.62328704953691</v>
      </c>
      <c r="I226" s="304">
        <f t="shared" ca="1" si="100"/>
        <v>153.58133370592952</v>
      </c>
      <c r="J226" s="306">
        <f t="shared" ca="1" si="101"/>
        <v>18.462531834493564</v>
      </c>
      <c r="K226" s="307">
        <f t="shared" ca="1" si="102"/>
        <v>175.65557420524237</v>
      </c>
      <c r="L226" s="304">
        <f t="shared" ca="1" si="87"/>
        <v>176.62317467170919</v>
      </c>
      <c r="M226" s="306">
        <f t="shared" ca="1" si="103"/>
        <v>1.4590417981575621</v>
      </c>
      <c r="N226" s="304">
        <f t="shared" ca="1" si="104"/>
        <v>83.596937167606839</v>
      </c>
      <c r="P226" s="310">
        <f t="shared" ca="1" si="105"/>
        <v>8</v>
      </c>
      <c r="Q226" s="304">
        <f t="shared" ca="1" si="106"/>
        <v>877.65833333333376</v>
      </c>
      <c r="R226" s="306">
        <f t="shared" ca="1" si="107"/>
        <v>0.43964737319689712</v>
      </c>
      <c r="S226" s="307">
        <f t="shared" ca="1" si="108"/>
        <v>11.414043103628243</v>
      </c>
      <c r="T226" s="304">
        <f t="shared" ca="1" si="88"/>
        <v>111.97176284659307</v>
      </c>
      <c r="U226" s="311">
        <f t="shared" ca="1" si="89"/>
        <v>0</v>
      </c>
      <c r="V226" s="306">
        <f t="shared" ca="1" si="90"/>
        <v>1.2036695329319034</v>
      </c>
      <c r="W226" s="304">
        <f t="shared" ca="1" si="91"/>
        <v>117.99734148950739</v>
      </c>
      <c r="Y226" s="314" t="str">
        <f t="shared" ca="1" si="109"/>
        <v/>
      </c>
      <c r="Z226" s="315" t="str">
        <f t="shared" ca="1" si="110"/>
        <v/>
      </c>
      <c r="AA226" s="316" t="str">
        <f t="shared" ca="1" si="111"/>
        <v/>
      </c>
      <c r="AC226" s="310" t="e">
        <f t="shared" ca="1" si="112"/>
        <v>#N/A</v>
      </c>
      <c r="AD226" s="323" t="e">
        <f t="shared" ca="1" si="113"/>
        <v>#N/A</v>
      </c>
      <c r="AE226" s="324">
        <f t="shared" ca="1" si="92"/>
        <v>175.65557420524237</v>
      </c>
      <c r="AG226" s="306">
        <f t="shared" ca="1" si="114"/>
        <v>56.88093110863133</v>
      </c>
      <c r="AH226" s="304">
        <f t="shared" ca="1" si="115"/>
        <v>66.629813785235584</v>
      </c>
    </row>
    <row r="227" spans="1:34" x14ac:dyDescent="0.25">
      <c r="A227" s="347">
        <f t="shared" ca="1" si="93"/>
        <v>0.01</v>
      </c>
      <c r="B227" s="304">
        <f t="shared" ca="1" si="94"/>
        <v>2.2299999999999964</v>
      </c>
      <c r="D227" s="306">
        <f t="shared" ca="1" si="95"/>
        <v>7.4111352178024132</v>
      </c>
      <c r="E227" s="307">
        <f t="shared" ca="1" si="96"/>
        <v>56.229889825295132</v>
      </c>
      <c r="F227" s="304">
        <f t="shared" ca="1" si="97"/>
        <v>56.716183184179279</v>
      </c>
      <c r="G227" s="306">
        <f t="shared" ca="1" si="98"/>
        <v>17.201817359893727</v>
      </c>
      <c r="H227" s="307">
        <f t="shared" ca="1" si="99"/>
        <v>153.18558594778986</v>
      </c>
      <c r="I227" s="304">
        <f t="shared" ca="1" si="100"/>
        <v>154.1483903991568</v>
      </c>
      <c r="J227" s="306">
        <f t="shared" ca="1" si="101"/>
        <v>18.634179451331612</v>
      </c>
      <c r="K227" s="307">
        <f t="shared" ca="1" si="102"/>
        <v>177.18461857022902</v>
      </c>
      <c r="L227" s="304">
        <f t="shared" ca="1" si="87"/>
        <v>178.16178518891749</v>
      </c>
      <c r="M227" s="306">
        <f t="shared" ca="1" si="103"/>
        <v>1.4589708255472305</v>
      </c>
      <c r="N227" s="304">
        <f t="shared" ca="1" si="104"/>
        <v>83.592870736573815</v>
      </c>
      <c r="P227" s="310">
        <f t="shared" ca="1" si="105"/>
        <v>8</v>
      </c>
      <c r="Q227" s="304">
        <f t="shared" ca="1" si="106"/>
        <v>876.21944444444489</v>
      </c>
      <c r="R227" s="306">
        <f t="shared" ca="1" si="107"/>
        <v>0.43892658733263079</v>
      </c>
      <c r="S227" s="307">
        <f t="shared" ca="1" si="108"/>
        <v>11.409653837754917</v>
      </c>
      <c r="T227" s="304">
        <f t="shared" ca="1" si="88"/>
        <v>111.92870414837574</v>
      </c>
      <c r="U227" s="311">
        <f t="shared" ca="1" si="89"/>
        <v>0</v>
      </c>
      <c r="V227" s="306">
        <f t="shared" ca="1" si="90"/>
        <v>1.2034854862705904</v>
      </c>
      <c r="W227" s="304">
        <f t="shared" ca="1" si="91"/>
        <v>118.85211951332951</v>
      </c>
      <c r="Y227" s="314" t="str">
        <f t="shared" ca="1" si="109"/>
        <v/>
      </c>
      <c r="Z227" s="315" t="str">
        <f t="shared" ca="1" si="110"/>
        <v/>
      </c>
      <c r="AA227" s="316" t="str">
        <f t="shared" ca="1" si="111"/>
        <v/>
      </c>
      <c r="AC227" s="310" t="e">
        <f t="shared" ca="1" si="112"/>
        <v>#N/A</v>
      </c>
      <c r="AD227" s="323" t="e">
        <f t="shared" ca="1" si="113"/>
        <v>#N/A</v>
      </c>
      <c r="AE227" s="324">
        <f t="shared" ca="1" si="92"/>
        <v>177.18461857022902</v>
      </c>
      <c r="AG227" s="306">
        <f t="shared" ca="1" si="114"/>
        <v>56.70563049959739</v>
      </c>
      <c r="AH227" s="304">
        <f t="shared" ca="1" si="115"/>
        <v>66.454435317393759</v>
      </c>
    </row>
    <row r="228" spans="1:34" x14ac:dyDescent="0.25">
      <c r="A228" s="347">
        <f t="shared" ca="1" si="93"/>
        <v>0.01</v>
      </c>
      <c r="B228" s="304">
        <f t="shared" ca="1" si="94"/>
        <v>2.2399999999999962</v>
      </c>
      <c r="D228" s="306">
        <f t="shared" ca="1" si="95"/>
        <v>7.3962295585939906</v>
      </c>
      <c r="E228" s="307">
        <f t="shared" ca="1" si="96"/>
        <v>56.054887124030245</v>
      </c>
      <c r="F228" s="304">
        <f t="shared" ca="1" si="97"/>
        <v>56.540733831205195</v>
      </c>
      <c r="G228" s="306">
        <f t="shared" ca="1" si="98"/>
        <v>17.275779655479667</v>
      </c>
      <c r="H228" s="307">
        <f t="shared" ca="1" si="99"/>
        <v>153.74613481903017</v>
      </c>
      <c r="I228" s="304">
        <f t="shared" ca="1" si="100"/>
        <v>154.71369213646247</v>
      </c>
      <c r="J228" s="306">
        <f t="shared" ca="1" si="101"/>
        <v>18.806567436408478</v>
      </c>
      <c r="K228" s="307">
        <f t="shared" ca="1" si="102"/>
        <v>178.71927717406311</v>
      </c>
      <c r="L228" s="304">
        <f t="shared" ca="1" si="87"/>
        <v>179.70605725005424</v>
      </c>
      <c r="M228" s="306">
        <f t="shared" ca="1" si="103"/>
        <v>1.4589000675396648</v>
      </c>
      <c r="N228" s="304">
        <f t="shared" ca="1" si="104"/>
        <v>83.588816601373551</v>
      </c>
      <c r="P228" s="310">
        <f t="shared" ca="1" si="105"/>
        <v>8</v>
      </c>
      <c r="Q228" s="304">
        <f t="shared" ca="1" si="106"/>
        <v>874.78055555555613</v>
      </c>
      <c r="R228" s="306">
        <f t="shared" ca="1" si="107"/>
        <v>0.43820580146836452</v>
      </c>
      <c r="S228" s="307">
        <f t="shared" ca="1" si="108"/>
        <v>11.405271779740232</v>
      </c>
      <c r="T228" s="304">
        <f t="shared" ca="1" si="88"/>
        <v>111.88571615925169</v>
      </c>
      <c r="U228" s="311">
        <f t="shared" ca="1" si="89"/>
        <v>0</v>
      </c>
      <c r="V228" s="306">
        <f t="shared" ca="1" si="90"/>
        <v>1.2033007918856498</v>
      </c>
      <c r="W228" s="304">
        <f t="shared" ca="1" si="91"/>
        <v>119.7070666097913</v>
      </c>
      <c r="Y228" s="314" t="str">
        <f t="shared" ca="1" si="109"/>
        <v/>
      </c>
      <c r="Z228" s="315" t="str">
        <f t="shared" ca="1" si="110"/>
        <v/>
      </c>
      <c r="AA228" s="316" t="str">
        <f t="shared" ca="1" si="111"/>
        <v/>
      </c>
      <c r="AC228" s="310" t="e">
        <f t="shared" ca="1" si="112"/>
        <v>#N/A</v>
      </c>
      <c r="AD228" s="323" t="e">
        <f t="shared" ca="1" si="113"/>
        <v>#N/A</v>
      </c>
      <c r="AE228" s="324">
        <f t="shared" ca="1" si="92"/>
        <v>178.71927717406311</v>
      </c>
      <c r="AG228" s="306">
        <f t="shared" ca="1" si="114"/>
        <v>56.530135000347315</v>
      </c>
      <c r="AH228" s="304">
        <f t="shared" ca="1" si="115"/>
        <v>66.278862147329178</v>
      </c>
    </row>
    <row r="229" spans="1:34" x14ac:dyDescent="0.25">
      <c r="A229" s="347">
        <f t="shared" ca="1" si="93"/>
        <v>0.01</v>
      </c>
      <c r="B229" s="304">
        <f t="shared" ca="1" si="94"/>
        <v>2.249999999999996</v>
      </c>
      <c r="D229" s="306">
        <f t="shared" ca="1" si="95"/>
        <v>7.3812636054714664</v>
      </c>
      <c r="E229" s="307">
        <f t="shared" ca="1" si="96"/>
        <v>55.879698065908102</v>
      </c>
      <c r="F229" s="304">
        <f t="shared" ca="1" si="97"/>
        <v>56.365092995137616</v>
      </c>
      <c r="G229" s="306">
        <f t="shared" ca="1" si="98"/>
        <v>17.349592291534382</v>
      </c>
      <c r="H229" s="307">
        <f t="shared" ca="1" si="99"/>
        <v>154.30493179968926</v>
      </c>
      <c r="I229" s="304">
        <f t="shared" ca="1" si="100"/>
        <v>155.27723700011288</v>
      </c>
      <c r="J229" s="306">
        <f t="shared" ca="1" si="101"/>
        <v>18.979694296143549</v>
      </c>
      <c r="K229" s="307">
        <f t="shared" ca="1" si="102"/>
        <v>180.25953250715671</v>
      </c>
      <c r="L229" s="304">
        <f t="shared" ca="1" si="87"/>
        <v>181.25597329543032</v>
      </c>
      <c r="M229" s="306">
        <f t="shared" ca="1" si="103"/>
        <v>1.4588295219092302</v>
      </c>
      <c r="N229" s="304">
        <f t="shared" ca="1" si="104"/>
        <v>83.58477463448655</v>
      </c>
      <c r="P229" s="310">
        <f t="shared" ca="1" si="105"/>
        <v>8</v>
      </c>
      <c r="Q229" s="304">
        <f t="shared" ca="1" si="106"/>
        <v>873.34166666666727</v>
      </c>
      <c r="R229" s="306">
        <f t="shared" ca="1" si="107"/>
        <v>0.43748501560409825</v>
      </c>
      <c r="S229" s="307">
        <f t="shared" ca="1" si="108"/>
        <v>11.400896929584192</v>
      </c>
      <c r="T229" s="304">
        <f t="shared" ca="1" si="88"/>
        <v>111.84279887922094</v>
      </c>
      <c r="U229" s="311">
        <f t="shared" ca="1" si="89"/>
        <v>0</v>
      </c>
      <c r="V229" s="306">
        <f t="shared" ca="1" si="90"/>
        <v>1.2031154521857796</v>
      </c>
      <c r="W229" s="304">
        <f t="shared" ca="1" si="91"/>
        <v>120.56214863762737</v>
      </c>
      <c r="Y229" s="314" t="str">
        <f t="shared" ca="1" si="109"/>
        <v/>
      </c>
      <c r="Z229" s="315" t="str">
        <f t="shared" ca="1" si="110"/>
        <v/>
      </c>
      <c r="AA229" s="316" t="str">
        <f t="shared" ca="1" si="111"/>
        <v/>
      </c>
      <c r="AC229" s="310" t="e">
        <f t="shared" ca="1" si="112"/>
        <v>#N/A</v>
      </c>
      <c r="AD229" s="323" t="e">
        <f t="shared" ca="1" si="113"/>
        <v>#N/A</v>
      </c>
      <c r="AE229" s="324">
        <f t="shared" ca="1" si="92"/>
        <v>180.25953250715671</v>
      </c>
      <c r="AG229" s="306">
        <f t="shared" ca="1" si="114"/>
        <v>56.354447726738215</v>
      </c>
      <c r="AH229" s="304">
        <f t="shared" ca="1" si="115"/>
        <v>66.10309738887905</v>
      </c>
    </row>
    <row r="230" spans="1:34" x14ac:dyDescent="0.25">
      <c r="A230" s="347">
        <f t="shared" ca="1" si="93"/>
        <v>0.01</v>
      </c>
      <c r="B230" s="304">
        <f t="shared" ca="1" si="94"/>
        <v>2.2599999999999958</v>
      </c>
      <c r="D230" s="306">
        <f t="shared" ca="1" si="95"/>
        <v>7.3662379242251594</v>
      </c>
      <c r="E230" s="307">
        <f t="shared" ca="1" si="96"/>
        <v>55.704325721214076</v>
      </c>
      <c r="F230" s="304">
        <f t="shared" ca="1" si="97"/>
        <v>56.189263789547958</v>
      </c>
      <c r="G230" s="306">
        <f t="shared" ca="1" si="98"/>
        <v>17.423254670776632</v>
      </c>
      <c r="H230" s="307">
        <f t="shared" ca="1" si="99"/>
        <v>154.8619750569014</v>
      </c>
      <c r="I230" s="304">
        <f t="shared" ca="1" si="100"/>
        <v>155.83902310348037</v>
      </c>
      <c r="J230" s="306">
        <f t="shared" ca="1" si="101"/>
        <v>19.153558530955102</v>
      </c>
      <c r="K230" s="307">
        <f t="shared" ca="1" si="102"/>
        <v>181.80536704143967</v>
      </c>
      <c r="L230" s="304">
        <f t="shared" ca="1" si="87"/>
        <v>182.81151574633179</v>
      </c>
      <c r="M230" s="306">
        <f t="shared" ca="1" si="103"/>
        <v>1.4587591864593723</v>
      </c>
      <c r="N230" s="304">
        <f t="shared" ca="1" si="104"/>
        <v>83.580744710059534</v>
      </c>
      <c r="P230" s="310">
        <f t="shared" ca="1" si="105"/>
        <v>8</v>
      </c>
      <c r="Q230" s="304">
        <f t="shared" ca="1" si="106"/>
        <v>871.9027777777784</v>
      </c>
      <c r="R230" s="306">
        <f t="shared" ca="1" si="107"/>
        <v>0.43676422973983192</v>
      </c>
      <c r="S230" s="307">
        <f t="shared" ca="1" si="108"/>
        <v>11.396529287286794</v>
      </c>
      <c r="T230" s="304">
        <f t="shared" ca="1" si="88"/>
        <v>111.79995230828347</v>
      </c>
      <c r="U230" s="311">
        <f t="shared" ca="1" si="89"/>
        <v>0</v>
      </c>
      <c r="V230" s="306">
        <f t="shared" ca="1" si="90"/>
        <v>1.2029294695815995</v>
      </c>
      <c r="W230" s="304">
        <f t="shared" ca="1" si="91"/>
        <v>121.41733157916271</v>
      </c>
      <c r="Y230" s="314" t="str">
        <f t="shared" ca="1" si="109"/>
        <v/>
      </c>
      <c r="Z230" s="315" t="str">
        <f t="shared" ca="1" si="110"/>
        <v/>
      </c>
      <c r="AA230" s="316" t="str">
        <f t="shared" ca="1" si="111"/>
        <v/>
      </c>
      <c r="AC230" s="310" t="e">
        <f t="shared" ca="1" si="112"/>
        <v>#N/A</v>
      </c>
      <c r="AD230" s="323" t="e">
        <f t="shared" ca="1" si="113"/>
        <v>#N/A</v>
      </c>
      <c r="AE230" s="324">
        <f t="shared" ca="1" si="92"/>
        <v>181.80536704143967</v>
      </c>
      <c r="AG230" s="306">
        <f t="shared" ca="1" si="114"/>
        <v>56.178571789379653</v>
      </c>
      <c r="AH230" s="304">
        <f t="shared" ca="1" si="115"/>
        <v>65.927144150657895</v>
      </c>
    </row>
    <row r="231" spans="1:34" x14ac:dyDescent="0.25">
      <c r="A231" s="347">
        <f t="shared" ca="1" si="93"/>
        <v>0.01</v>
      </c>
      <c r="B231" s="304">
        <f t="shared" ca="1" si="94"/>
        <v>2.2699999999999956</v>
      </c>
      <c r="D231" s="306">
        <f t="shared" ca="1" si="95"/>
        <v>7.3511530776938239</v>
      </c>
      <c r="E231" s="307">
        <f t="shared" ca="1" si="96"/>
        <v>55.528773155092722</v>
      </c>
      <c r="F231" s="304">
        <f t="shared" ca="1" si="97"/>
        <v>56.013249322650744</v>
      </c>
      <c r="G231" s="306">
        <f t="shared" ca="1" si="98"/>
        <v>17.496766201553569</v>
      </c>
      <c r="H231" s="307">
        <f t="shared" ca="1" si="99"/>
        <v>155.41726278845232</v>
      </c>
      <c r="I231" s="304">
        <f t="shared" ca="1" si="100"/>
        <v>156.39904859098942</v>
      </c>
      <c r="J231" s="306">
        <f t="shared" ca="1" si="101"/>
        <v>19.328158635316754</v>
      </c>
      <c r="K231" s="307">
        <f t="shared" ca="1" si="102"/>
        <v>183.35676323066644</v>
      </c>
      <c r="L231" s="304">
        <f t="shared" ca="1" si="87"/>
        <v>184.37266700533092</v>
      </c>
      <c r="M231" s="306">
        <f t="shared" ca="1" si="103"/>
        <v>1.4586890590220942</v>
      </c>
      <c r="N231" s="304">
        <f t="shared" ca="1" si="104"/>
        <v>83.576726703875437</v>
      </c>
      <c r="P231" s="310">
        <f t="shared" ca="1" si="105"/>
        <v>8</v>
      </c>
      <c r="Q231" s="304">
        <f t="shared" ca="1" si="106"/>
        <v>870.46388888888953</v>
      </c>
      <c r="R231" s="306">
        <f t="shared" ca="1" si="107"/>
        <v>0.43604344387556565</v>
      </c>
      <c r="S231" s="307">
        <f t="shared" ca="1" si="108"/>
        <v>11.392168852848039</v>
      </c>
      <c r="T231" s="304">
        <f t="shared" ca="1" si="88"/>
        <v>111.75717644643927</v>
      </c>
      <c r="U231" s="311">
        <f t="shared" ca="1" si="89"/>
        <v>0</v>
      </c>
      <c r="V231" s="306">
        <f t="shared" ca="1" si="90"/>
        <v>1.2027428464855998</v>
      </c>
      <c r="W231" s="304">
        <f t="shared" ca="1" si="91"/>
        <v>122.2725815415464</v>
      </c>
      <c r="Y231" s="314" t="str">
        <f t="shared" ca="1" si="109"/>
        <v/>
      </c>
      <c r="Z231" s="315" t="str">
        <f t="shared" ca="1" si="110"/>
        <v/>
      </c>
      <c r="AA231" s="316" t="str">
        <f t="shared" ca="1" si="111"/>
        <v/>
      </c>
      <c r="AC231" s="310" t="e">
        <f t="shared" ca="1" si="112"/>
        <v>#N/A</v>
      </c>
      <c r="AD231" s="323" t="e">
        <f t="shared" ca="1" si="113"/>
        <v>#N/A</v>
      </c>
      <c r="AE231" s="324">
        <f t="shared" ca="1" si="92"/>
        <v>183.35676323066644</v>
      </c>
      <c r="AG231" s="306">
        <f t="shared" ca="1" si="114"/>
        <v>56.002510293494765</v>
      </c>
      <c r="AH231" s="304">
        <f t="shared" ca="1" si="115"/>
        <v>65.751005535918253</v>
      </c>
    </row>
    <row r="232" spans="1:34" x14ac:dyDescent="0.25">
      <c r="A232" s="347">
        <f t="shared" ca="1" si="93"/>
        <v>0.01</v>
      </c>
      <c r="B232" s="304">
        <f t="shared" ca="1" si="94"/>
        <v>2.2799999999999954</v>
      </c>
      <c r="D232" s="306">
        <f t="shared" ca="1" si="95"/>
        <v>7.3360096257963727</v>
      </c>
      <c r="E232" s="307">
        <f t="shared" ca="1" si="96"/>
        <v>55.353043427406362</v>
      </c>
      <c r="F232" s="304">
        <f t="shared" ca="1" si="97"/>
        <v>55.837052697166165</v>
      </c>
      <c r="G232" s="306">
        <f t="shared" ca="1" si="98"/>
        <v>17.570126297811534</v>
      </c>
      <c r="H232" s="307">
        <f t="shared" ca="1" si="99"/>
        <v>155.97079322272637</v>
      </c>
      <c r="I232" s="304">
        <f t="shared" ca="1" si="100"/>
        <v>156.95731163806136</v>
      </c>
      <c r="J232" s="306">
        <f t="shared" ca="1" si="101"/>
        <v>19.503493097813578</v>
      </c>
      <c r="K232" s="307">
        <f t="shared" ca="1" si="102"/>
        <v>184.91370351072234</v>
      </c>
      <c r="L232" s="304">
        <f t="shared" ca="1" si="87"/>
        <v>185.93940945659634</v>
      </c>
      <c r="M232" s="306">
        <f t="shared" ca="1" si="103"/>
        <v>1.4586191374574422</v>
      </c>
      <c r="N232" s="304">
        <f t="shared" ca="1" si="104"/>
        <v>83.572720493323928</v>
      </c>
      <c r="P232" s="310">
        <f t="shared" ca="1" si="105"/>
        <v>8</v>
      </c>
      <c r="Q232" s="304">
        <f t="shared" ca="1" si="106"/>
        <v>869.02500000000066</v>
      </c>
      <c r="R232" s="306">
        <f t="shared" ca="1" si="107"/>
        <v>0.43532265801129932</v>
      </c>
      <c r="S232" s="307">
        <f t="shared" ca="1" si="108"/>
        <v>11.387815626267926</v>
      </c>
      <c r="T232" s="304">
        <f t="shared" ca="1" si="88"/>
        <v>111.71447129368836</v>
      </c>
      <c r="U232" s="311">
        <f t="shared" ca="1" si="89"/>
        <v>0</v>
      </c>
      <c r="V232" s="306">
        <f t="shared" ca="1" si="90"/>
        <v>1.2025555853120902</v>
      </c>
      <c r="W232" s="304">
        <f t="shared" ca="1" si="91"/>
        <v>123.12786475797044</v>
      </c>
      <c r="Y232" s="314" t="str">
        <f t="shared" ca="1" si="109"/>
        <v/>
      </c>
      <c r="Z232" s="315" t="str">
        <f t="shared" ca="1" si="110"/>
        <v/>
      </c>
      <c r="AA232" s="316" t="str">
        <f t="shared" ca="1" si="111"/>
        <v/>
      </c>
      <c r="AC232" s="310" t="e">
        <f t="shared" ca="1" si="112"/>
        <v>#N/A</v>
      </c>
      <c r="AD232" s="323" t="e">
        <f t="shared" ca="1" si="113"/>
        <v>#N/A</v>
      </c>
      <c r="AE232" s="324">
        <f t="shared" ca="1" si="92"/>
        <v>184.91370351072234</v>
      </c>
      <c r="AG232" s="306">
        <f t="shared" ca="1" si="114"/>
        <v>55.826266338782318</v>
      </c>
      <c r="AH232" s="304">
        <f t="shared" ca="1" si="115"/>
        <v>65.574684642412308</v>
      </c>
    </row>
    <row r="233" spans="1:34" x14ac:dyDescent="0.25">
      <c r="A233" s="347">
        <f t="shared" ca="1" si="93"/>
        <v>0.01</v>
      </c>
      <c r="B233" s="304">
        <f t="shared" ca="1" si="94"/>
        <v>2.2899999999999952</v>
      </c>
      <c r="D233" s="306">
        <f t="shared" ca="1" si="95"/>
        <v>7.3208081255627553</v>
      </c>
      <c r="E233" s="307">
        <f t="shared" ca="1" si="96"/>
        <v>55.177139592595054</v>
      </c>
      <c r="F233" s="304">
        <f t="shared" ca="1" si="97"/>
        <v>55.660677010184003</v>
      </c>
      <c r="G233" s="306">
        <f t="shared" ca="1" si="98"/>
        <v>17.643334379067163</v>
      </c>
      <c r="H233" s="307">
        <f t="shared" ca="1" si="99"/>
        <v>156.52256461865232</v>
      </c>
      <c r="I233" s="304">
        <f t="shared" ca="1" si="100"/>
        <v>157.51381045105779</v>
      </c>
      <c r="J233" s="306">
        <f t="shared" ca="1" si="101"/>
        <v>19.679560401197971</v>
      </c>
      <c r="K233" s="307">
        <f t="shared" ca="1" si="102"/>
        <v>186.47617029992924</v>
      </c>
      <c r="L233" s="304">
        <f t="shared" ca="1" si="87"/>
        <v>187.51172546620279</v>
      </c>
      <c r="M233" s="306">
        <f t="shared" ca="1" si="103"/>
        <v>1.458549419653006</v>
      </c>
      <c r="N233" s="304">
        <f t="shared" ca="1" si="104"/>
        <v>83.568725957372806</v>
      </c>
      <c r="P233" s="310">
        <f t="shared" ca="1" si="105"/>
        <v>8</v>
      </c>
      <c r="Q233" s="304">
        <f t="shared" ca="1" si="106"/>
        <v>867.58611111111179</v>
      </c>
      <c r="R233" s="306">
        <f t="shared" ca="1" si="107"/>
        <v>0.434601872147033</v>
      </c>
      <c r="S233" s="307">
        <f t="shared" ca="1" si="108"/>
        <v>11.383469607546456</v>
      </c>
      <c r="T233" s="304">
        <f t="shared" ca="1" si="88"/>
        <v>111.67183685003073</v>
      </c>
      <c r="U233" s="311">
        <f t="shared" ca="1" si="89"/>
        <v>0</v>
      </c>
      <c r="V233" s="306">
        <f t="shared" ca="1" si="90"/>
        <v>1.2023676884771499</v>
      </c>
      <c r="W233" s="304">
        <f t="shared" ca="1" si="91"/>
        <v>123.98314758887348</v>
      </c>
      <c r="Y233" s="314" t="str">
        <f t="shared" ca="1" si="109"/>
        <v/>
      </c>
      <c r="Z233" s="315" t="str">
        <f t="shared" ca="1" si="110"/>
        <v/>
      </c>
      <c r="AA233" s="316" t="str">
        <f t="shared" ca="1" si="111"/>
        <v/>
      </c>
      <c r="AC233" s="310" t="e">
        <f t="shared" ca="1" si="112"/>
        <v>#N/A</v>
      </c>
      <c r="AD233" s="323" t="e">
        <f t="shared" ca="1" si="113"/>
        <v>#N/A</v>
      </c>
      <c r="AE233" s="324">
        <f t="shared" ca="1" si="92"/>
        <v>186.47617029992924</v>
      </c>
      <c r="AG233" s="306">
        <f t="shared" ca="1" si="114"/>
        <v>55.649843019280063</v>
      </c>
      <c r="AH233" s="304">
        <f t="shared" ca="1" si="115"/>
        <v>65.398184562254798</v>
      </c>
    </row>
    <row r="234" spans="1:34" x14ac:dyDescent="0.25">
      <c r="A234" s="347">
        <f t="shared" ca="1" si="93"/>
        <v>0.01</v>
      </c>
      <c r="B234" s="304">
        <f t="shared" ca="1" si="94"/>
        <v>2.2999999999999949</v>
      </c>
      <c r="D234" s="306">
        <f t="shared" ca="1" si="95"/>
        <v>7.3055491311636169</v>
      </c>
      <c r="E234" s="307">
        <f t="shared" ca="1" si="96"/>
        <v>55.001064699537523</v>
      </c>
      <c r="F234" s="304">
        <f t="shared" ca="1" si="97"/>
        <v>55.484125353028304</v>
      </c>
      <c r="G234" s="306">
        <f t="shared" ca="1" si="98"/>
        <v>17.716389870378798</v>
      </c>
      <c r="H234" s="307">
        <f t="shared" ca="1" si="99"/>
        <v>157.07257526564771</v>
      </c>
      <c r="I234" s="304">
        <f t="shared" ca="1" si="100"/>
        <v>158.06854326722259</v>
      </c>
      <c r="J234" s="306">
        <f t="shared" ca="1" si="101"/>
        <v>19.856359022445201</v>
      </c>
      <c r="K234" s="307">
        <f t="shared" ca="1" si="102"/>
        <v>188.04414599935075</v>
      </c>
      <c r="L234" s="304">
        <f t="shared" ca="1" si="87"/>
        <v>189.0895973824403</v>
      </c>
      <c r="M234" s="306">
        <f t="shared" ca="1" si="103"/>
        <v>1.4584799035234279</v>
      </c>
      <c r="N234" s="304">
        <f t="shared" ca="1" si="104"/>
        <v>83.564742976539904</v>
      </c>
      <c r="P234" s="310">
        <f t="shared" ca="1" si="105"/>
        <v>8</v>
      </c>
      <c r="Q234" s="304">
        <f t="shared" ca="1" si="106"/>
        <v>866.14722222222292</v>
      </c>
      <c r="R234" s="306">
        <f t="shared" ca="1" si="107"/>
        <v>0.43388108628276673</v>
      </c>
      <c r="S234" s="307">
        <f t="shared" ca="1" si="108"/>
        <v>11.379130796683627</v>
      </c>
      <c r="T234" s="304">
        <f t="shared" ca="1" si="88"/>
        <v>111.62927311546639</v>
      </c>
      <c r="U234" s="311">
        <f t="shared" ca="1" si="89"/>
        <v>0</v>
      </c>
      <c r="V234" s="306">
        <f t="shared" ca="1" si="90"/>
        <v>1.2021791583985761</v>
      </c>
      <c r="W234" s="304">
        <f t="shared" ca="1" si="91"/>
        <v>124.83839652312855</v>
      </c>
      <c r="Y234" s="314" t="str">
        <f t="shared" ca="1" si="109"/>
        <v/>
      </c>
      <c r="Z234" s="315" t="str">
        <f t="shared" ca="1" si="110"/>
        <v/>
      </c>
      <c r="AA234" s="316" t="str">
        <f t="shared" ca="1" si="111"/>
        <v/>
      </c>
      <c r="AC234" s="310" t="e">
        <f t="shared" ca="1" si="112"/>
        <v>#N/A</v>
      </c>
      <c r="AD234" s="323" t="e">
        <f t="shared" ca="1" si="113"/>
        <v>#N/A</v>
      </c>
      <c r="AE234" s="324">
        <f t="shared" ca="1" si="92"/>
        <v>188.04414599935075</v>
      </c>
      <c r="AG234" s="306">
        <f t="shared" ca="1" si="114"/>
        <v>55.47324342322888</v>
      </c>
      <c r="AH234" s="304">
        <f t="shared" ca="1" si="115"/>
        <v>65.221508381786791</v>
      </c>
    </row>
    <row r="235" spans="1:34" x14ac:dyDescent="0.25">
      <c r="A235" s="347">
        <f t="shared" ca="1" si="93"/>
        <v>0.01</v>
      </c>
      <c r="B235" s="304">
        <f t="shared" ca="1" si="94"/>
        <v>2.3099999999999947</v>
      </c>
      <c r="D235" s="306">
        <f t="shared" ca="1" si="95"/>
        <v>7.2902331939391729</v>
      </c>
      <c r="E235" s="307">
        <f t="shared" ca="1" si="96"/>
        <v>54.824821791413342</v>
      </c>
      <c r="F235" s="304">
        <f t="shared" ca="1" si="97"/>
        <v>55.307400811123316</v>
      </c>
      <c r="G235" s="306">
        <f t="shared" ca="1" si="98"/>
        <v>17.78929220231819</v>
      </c>
      <c r="H235" s="307">
        <f t="shared" ca="1" si="99"/>
        <v>157.62082348356185</v>
      </c>
      <c r="I235" s="304">
        <f t="shared" ca="1" si="100"/>
        <v>158.62150835462265</v>
      </c>
      <c r="J235" s="306">
        <f t="shared" ca="1" si="101"/>
        <v>20.033887432808687</v>
      </c>
      <c r="K235" s="307">
        <f t="shared" ca="1" si="102"/>
        <v>189.6176129930968</v>
      </c>
      <c r="L235" s="304">
        <f t="shared" ca="1" si="87"/>
        <v>190.67300753612264</v>
      </c>
      <c r="M235" s="306">
        <f t="shared" ca="1" si="103"/>
        <v>1.458410587009924</v>
      </c>
      <c r="N235" s="304">
        <f t="shared" ca="1" si="104"/>
        <v>83.560771432865565</v>
      </c>
      <c r="P235" s="310">
        <f t="shared" ca="1" si="105"/>
        <v>8</v>
      </c>
      <c r="Q235" s="304">
        <f t="shared" ca="1" si="106"/>
        <v>864.70833333333405</v>
      </c>
      <c r="R235" s="306">
        <f t="shared" ca="1" si="107"/>
        <v>0.4331603004185004</v>
      </c>
      <c r="S235" s="307">
        <f t="shared" ca="1" si="108"/>
        <v>11.374799193679442</v>
      </c>
      <c r="T235" s="304">
        <f t="shared" ca="1" si="88"/>
        <v>111.58678008999533</v>
      </c>
      <c r="U235" s="311">
        <f t="shared" ca="1" si="89"/>
        <v>0</v>
      </c>
      <c r="V235" s="306">
        <f t="shared" ca="1" si="90"/>
        <v>1.2019899974958359</v>
      </c>
      <c r="W235" s="304">
        <f t="shared" ca="1" si="91"/>
        <v>125.69357817921697</v>
      </c>
      <c r="Y235" s="314" t="str">
        <f t="shared" ca="1" si="109"/>
        <v/>
      </c>
      <c r="Z235" s="315" t="str">
        <f t="shared" ca="1" si="110"/>
        <v/>
      </c>
      <c r="AA235" s="316" t="str">
        <f t="shared" ca="1" si="111"/>
        <v/>
      </c>
      <c r="AC235" s="310" t="e">
        <f t="shared" ca="1" si="112"/>
        <v>#N/A</v>
      </c>
      <c r="AD235" s="323" t="e">
        <f t="shared" ca="1" si="113"/>
        <v>#N/A</v>
      </c>
      <c r="AE235" s="324">
        <f t="shared" ca="1" si="92"/>
        <v>189.6176129930968</v>
      </c>
      <c r="AG235" s="306">
        <f t="shared" ca="1" si="114"/>
        <v>55.29647063293821</v>
      </c>
      <c r="AH235" s="304">
        <f t="shared" ca="1" si="115"/>
        <v>65.044659181440664</v>
      </c>
    </row>
    <row r="236" spans="1:34" x14ac:dyDescent="0.25">
      <c r="A236" s="347">
        <f t="shared" ca="1" si="93"/>
        <v>0.01</v>
      </c>
      <c r="B236" s="304">
        <f t="shared" ca="1" si="94"/>
        <v>2.3199999999999945</v>
      </c>
      <c r="D236" s="306">
        <f t="shared" ca="1" si="95"/>
        <v>7.2748608624270625</v>
      </c>
      <c r="E236" s="307">
        <f t="shared" ca="1" si="96"/>
        <v>54.648413905566272</v>
      </c>
      <c r="F236" s="304">
        <f t="shared" ca="1" si="97"/>
        <v>55.130506463860478</v>
      </c>
      <c r="G236" s="306">
        <f t="shared" ca="1" si="98"/>
        <v>17.86204081094246</v>
      </c>
      <c r="H236" s="307">
        <f t="shared" ca="1" si="99"/>
        <v>158.1673076226175</v>
      </c>
      <c r="I236" s="304">
        <f t="shared" ca="1" si="100"/>
        <v>159.17270401208711</v>
      </c>
      <c r="J236" s="306">
        <f t="shared" ca="1" si="101"/>
        <v>20.21214409787499</v>
      </c>
      <c r="K236" s="307">
        <f t="shared" ca="1" si="102"/>
        <v>191.19655364862768</v>
      </c>
      <c r="L236" s="304">
        <f t="shared" ca="1" si="87"/>
        <v>192.26193824089526</v>
      </c>
      <c r="M236" s="306">
        <f t="shared" ca="1" si="103"/>
        <v>1.458341468079815</v>
      </c>
      <c r="N236" s="304">
        <f t="shared" ca="1" si="104"/>
        <v>83.556811209885865</v>
      </c>
      <c r="P236" s="310">
        <f t="shared" ca="1" si="105"/>
        <v>8</v>
      </c>
      <c r="Q236" s="304">
        <f t="shared" ca="1" si="106"/>
        <v>863.2694444444453</v>
      </c>
      <c r="R236" s="306">
        <f t="shared" ca="1" si="107"/>
        <v>0.43243951455423413</v>
      </c>
      <c r="S236" s="307">
        <f t="shared" ca="1" si="108"/>
        <v>11.3704747985339</v>
      </c>
      <c r="T236" s="304">
        <f t="shared" ca="1" si="88"/>
        <v>111.54435777361756</v>
      </c>
      <c r="U236" s="311">
        <f t="shared" ca="1" si="89"/>
        <v>0</v>
      </c>
      <c r="V236" s="306">
        <f t="shared" ca="1" si="90"/>
        <v>1.201800208190015</v>
      </c>
      <c r="W236" s="304">
        <f t="shared" ca="1" si="91"/>
        <v>126.54865930638553</v>
      </c>
      <c r="Y236" s="314" t="str">
        <f t="shared" ca="1" si="109"/>
        <v/>
      </c>
      <c r="Z236" s="315" t="str">
        <f t="shared" ca="1" si="110"/>
        <v/>
      </c>
      <c r="AA236" s="316" t="str">
        <f t="shared" ca="1" si="111"/>
        <v/>
      </c>
      <c r="AC236" s="310" t="e">
        <f t="shared" ca="1" si="112"/>
        <v>#N/A</v>
      </c>
      <c r="AD236" s="323" t="e">
        <f t="shared" ca="1" si="113"/>
        <v>#N/A</v>
      </c>
      <c r="AE236" s="324">
        <f t="shared" ca="1" si="92"/>
        <v>191.19655364862768</v>
      </c>
      <c r="AG236" s="306">
        <f t="shared" ca="1" si="114"/>
        <v>55.119527724652443</v>
      </c>
      <c r="AH236" s="304">
        <f t="shared" ca="1" si="115"/>
        <v>64.867640035606144</v>
      </c>
    </row>
    <row r="237" spans="1:34" x14ac:dyDescent="0.25">
      <c r="A237" s="347">
        <f t="shared" ca="1" si="93"/>
        <v>0.01</v>
      </c>
      <c r="B237" s="304">
        <f t="shared" ca="1" si="94"/>
        <v>2.3299999999999943</v>
      </c>
      <c r="D237" s="306">
        <f t="shared" ca="1" si="95"/>
        <v>7.2594326823893116</v>
      </c>
      <c r="E237" s="307">
        <f t="shared" ca="1" si="96"/>
        <v>54.471844073368743</v>
      </c>
      <c r="F237" s="304">
        <f t="shared" ca="1" si="97"/>
        <v>54.953445384466477</v>
      </c>
      <c r="G237" s="306">
        <f t="shared" ca="1" si="98"/>
        <v>17.934635137766353</v>
      </c>
      <c r="H237" s="307">
        <f t="shared" ca="1" si="99"/>
        <v>158.71202606335117</v>
      </c>
      <c r="I237" s="304">
        <f t="shared" ca="1" si="100"/>
        <v>159.72212856914555</v>
      </c>
      <c r="J237" s="306">
        <f t="shared" ca="1" si="101"/>
        <v>20.391127477618536</v>
      </c>
      <c r="K237" s="307">
        <f t="shared" ca="1" si="102"/>
        <v>192.78095031705752</v>
      </c>
      <c r="L237" s="304">
        <f t="shared" ca="1" si="87"/>
        <v>193.85637179354279</v>
      </c>
      <c r="M237" s="306">
        <f t="shared" ca="1" si="103"/>
        <v>1.4582725447260689</v>
      </c>
      <c r="N237" s="304">
        <f t="shared" ca="1" si="104"/>
        <v>83.552862192606327</v>
      </c>
      <c r="P237" s="310">
        <f t="shared" ca="1" si="105"/>
        <v>8</v>
      </c>
      <c r="Q237" s="304">
        <f t="shared" ca="1" si="106"/>
        <v>861.83055555555643</v>
      </c>
      <c r="R237" s="306">
        <f t="shared" ca="1" si="107"/>
        <v>0.43171872868996786</v>
      </c>
      <c r="S237" s="307">
        <f t="shared" ca="1" si="108"/>
        <v>11.366157611247001</v>
      </c>
      <c r="T237" s="304">
        <f t="shared" ca="1" si="88"/>
        <v>111.50200616633309</v>
      </c>
      <c r="U237" s="311">
        <f t="shared" ca="1" si="89"/>
        <v>0</v>
      </c>
      <c r="V237" s="306">
        <f t="shared" ca="1" si="90"/>
        <v>1.2016097929037668</v>
      </c>
      <c r="W237" s="304">
        <f t="shared" ca="1" si="91"/>
        <v>127.40360678578939</v>
      </c>
      <c r="Y237" s="314" t="str">
        <f t="shared" ca="1" si="109"/>
        <v/>
      </c>
      <c r="Z237" s="315" t="str">
        <f t="shared" ca="1" si="110"/>
        <v/>
      </c>
      <c r="AA237" s="316" t="str">
        <f t="shared" ca="1" si="111"/>
        <v/>
      </c>
      <c r="AC237" s="310" t="e">
        <f t="shared" ca="1" si="112"/>
        <v>#N/A</v>
      </c>
      <c r="AD237" s="323" t="e">
        <f t="shared" ca="1" si="113"/>
        <v>#N/A</v>
      </c>
      <c r="AE237" s="324">
        <f t="shared" ca="1" si="92"/>
        <v>192.78095031705752</v>
      </c>
      <c r="AG237" s="306">
        <f t="shared" ca="1" si="114"/>
        <v>54.942417768418395</v>
      </c>
      <c r="AH237" s="304">
        <f t="shared" ca="1" si="115"/>
        <v>64.690454012497355</v>
      </c>
    </row>
    <row r="238" spans="1:34" x14ac:dyDescent="0.25">
      <c r="A238" s="347">
        <f t="shared" ca="1" si="93"/>
        <v>0.01</v>
      </c>
      <c r="B238" s="304">
        <f t="shared" ca="1" si="94"/>
        <v>2.3399999999999941</v>
      </c>
      <c r="D238" s="306">
        <f t="shared" ca="1" si="95"/>
        <v>7.2439491968384013</v>
      </c>
      <c r="E238" s="307">
        <f t="shared" ca="1" si="96"/>
        <v>54.295115320087604</v>
      </c>
      <c r="F238" s="304">
        <f t="shared" ca="1" si="97"/>
        <v>54.776220639872442</v>
      </c>
      <c r="G238" s="306">
        <f t="shared" ca="1" si="98"/>
        <v>18.007074629734738</v>
      </c>
      <c r="H238" s="307">
        <f t="shared" ca="1" si="99"/>
        <v>159.25497721655205</v>
      </c>
      <c r="I238" s="304">
        <f t="shared" ca="1" si="100"/>
        <v>160.26978038596468</v>
      </c>
      <c r="J238" s="306">
        <f t="shared" ca="1" si="101"/>
        <v>20.570836026456043</v>
      </c>
      <c r="K238" s="307">
        <f t="shared" ca="1" si="102"/>
        <v>194.37078533345704</v>
      </c>
      <c r="L238" s="304">
        <f t="shared" ca="1" si="87"/>
        <v>195.45629047429549</v>
      </c>
      <c r="M238" s="306">
        <f t="shared" ca="1" si="103"/>
        <v>1.4582038149668517</v>
      </c>
      <c r="N238" s="304">
        <f t="shared" ca="1" si="104"/>
        <v>83.548924267476224</v>
      </c>
      <c r="P238" s="310">
        <f t="shared" ca="1" si="105"/>
        <v>8</v>
      </c>
      <c r="Q238" s="304">
        <f t="shared" ca="1" si="106"/>
        <v>860.39166666666756</v>
      </c>
      <c r="R238" s="306">
        <f t="shared" ca="1" si="107"/>
        <v>0.43099794282570153</v>
      </c>
      <c r="S238" s="307">
        <f t="shared" ca="1" si="108"/>
        <v>11.361847631818744</v>
      </c>
      <c r="T238" s="304">
        <f t="shared" ca="1" si="88"/>
        <v>111.45972526814188</v>
      </c>
      <c r="U238" s="311">
        <f t="shared" ca="1" si="89"/>
        <v>0</v>
      </c>
      <c r="V238" s="306">
        <f t="shared" ca="1" si="90"/>
        <v>1.2014187540612644</v>
      </c>
      <c r="W238" s="304">
        <f t="shared" ca="1" si="91"/>
        <v>128.25838763161923</v>
      </c>
      <c r="Y238" s="314" t="str">
        <f t="shared" ca="1" si="109"/>
        <v/>
      </c>
      <c r="Z238" s="315" t="str">
        <f t="shared" ca="1" si="110"/>
        <v/>
      </c>
      <c r="AA238" s="316" t="str">
        <f t="shared" ca="1" si="111"/>
        <v/>
      </c>
      <c r="AC238" s="310" t="e">
        <f t="shared" ca="1" si="112"/>
        <v>#N/A</v>
      </c>
      <c r="AD238" s="323" t="e">
        <f t="shared" ca="1" si="113"/>
        <v>#N/A</v>
      </c>
      <c r="AE238" s="324">
        <f t="shared" ca="1" si="92"/>
        <v>194.37078533345704</v>
      </c>
      <c r="AG238" s="306">
        <f t="shared" ca="1" si="114"/>
        <v>54.76514382795397</v>
      </c>
      <c r="AH238" s="304">
        <f t="shared" ca="1" si="115"/>
        <v>64.513104174021151</v>
      </c>
    </row>
    <row r="239" spans="1:34" x14ac:dyDescent="0.25">
      <c r="A239" s="347">
        <f t="shared" ca="1" si="93"/>
        <v>0.01</v>
      </c>
      <c r="B239" s="304">
        <f t="shared" ca="1" si="94"/>
        <v>2.3499999999999939</v>
      </c>
      <c r="D239" s="306">
        <f t="shared" ca="1" si="95"/>
        <v>7.2284109460625361</v>
      </c>
      <c r="E239" s="307">
        <f t="shared" ca="1" si="96"/>
        <v>54.118230664750875</v>
      </c>
      <c r="F239" s="304">
        <f t="shared" ca="1" si="97"/>
        <v>54.598835290584162</v>
      </c>
      <c r="G239" s="306">
        <f t="shared" ca="1" si="98"/>
        <v>18.079358739195364</v>
      </c>
      <c r="H239" s="307">
        <f t="shared" ca="1" si="99"/>
        <v>159.79615952319955</v>
      </c>
      <c r="I239" s="304">
        <f t="shared" ca="1" si="100"/>
        <v>160.81565785328354</v>
      </c>
      <c r="J239" s="306">
        <f t="shared" ca="1" si="101"/>
        <v>20.751268193300692</v>
      </c>
      <c r="K239" s="307">
        <f t="shared" ca="1" si="102"/>
        <v>195.96604101715579</v>
      </c>
      <c r="L239" s="304">
        <f t="shared" ca="1" si="87"/>
        <v>197.06167654713556</v>
      </c>
      <c r="M239" s="306">
        <f t="shared" ca="1" si="103"/>
        <v>1.4581352768450884</v>
      </c>
      <c r="N239" s="304">
        <f t="shared" ca="1" si="104"/>
        <v>83.544997322363429</v>
      </c>
      <c r="P239" s="310">
        <f t="shared" ca="1" si="105"/>
        <v>8</v>
      </c>
      <c r="Q239" s="304">
        <f t="shared" ca="1" si="106"/>
        <v>858.95277777777869</v>
      </c>
      <c r="R239" s="306">
        <f t="shared" ca="1" si="107"/>
        <v>0.43027715696143526</v>
      </c>
      <c r="S239" s="307">
        <f t="shared" ca="1" si="108"/>
        <v>11.35754486024913</v>
      </c>
      <c r="T239" s="304">
        <f t="shared" ca="1" si="88"/>
        <v>111.41751507904397</v>
      </c>
      <c r="U239" s="311">
        <f t="shared" ca="1" si="89"/>
        <v>0</v>
      </c>
      <c r="V239" s="306">
        <f t="shared" ca="1" si="90"/>
        <v>1.2012270940881493</v>
      </c>
      <c r="W239" s="304">
        <f t="shared" ca="1" si="91"/>
        <v>129.11296899221279</v>
      </c>
      <c r="Y239" s="314" t="str">
        <f t="shared" ca="1" si="109"/>
        <v/>
      </c>
      <c r="Z239" s="315" t="str">
        <f t="shared" ca="1" si="110"/>
        <v/>
      </c>
      <c r="AA239" s="316" t="str">
        <f t="shared" ca="1" si="111"/>
        <v/>
      </c>
      <c r="AC239" s="310" t="e">
        <f t="shared" ca="1" si="112"/>
        <v>#N/A</v>
      </c>
      <c r="AD239" s="323" t="e">
        <f t="shared" ca="1" si="113"/>
        <v>#N/A</v>
      </c>
      <c r="AE239" s="324">
        <f t="shared" ca="1" si="92"/>
        <v>195.96604101715579</v>
      </c>
      <c r="AG239" s="306">
        <f t="shared" ca="1" si="114"/>
        <v>54.587708960517823</v>
      </c>
      <c r="AH239" s="304">
        <f t="shared" ca="1" si="115"/>
        <v>64.335593575646371</v>
      </c>
    </row>
    <row r="240" spans="1:34" x14ac:dyDescent="0.25">
      <c r="A240" s="347">
        <f t="shared" ca="1" si="93"/>
        <v>0.01</v>
      </c>
      <c r="B240" s="304">
        <f t="shared" ca="1" si="94"/>
        <v>2.3599999999999937</v>
      </c>
      <c r="D240" s="306">
        <f t="shared" ca="1" si="95"/>
        <v>7.2128184676500853</v>
      </c>
      <c r="E240" s="307">
        <f t="shared" ca="1" si="96"/>
        <v>53.941193120015974</v>
      </c>
      <c r="F240" s="304">
        <f t="shared" ca="1" si="97"/>
        <v>54.421292390553653</v>
      </c>
      <c r="G240" s="306">
        <f t="shared" ca="1" si="98"/>
        <v>18.151486923871865</v>
      </c>
      <c r="H240" s="307">
        <f t="shared" ca="1" si="99"/>
        <v>160.33557145439971</v>
      </c>
      <c r="I240" s="304">
        <f t="shared" ca="1" si="100"/>
        <v>161.35975939234791</v>
      </c>
      <c r="J240" s="306">
        <f t="shared" ca="1" si="101"/>
        <v>20.932422421616028</v>
      </c>
      <c r="K240" s="307">
        <f t="shared" ca="1" si="102"/>
        <v>197.5666996720438</v>
      </c>
      <c r="L240" s="304">
        <f t="shared" ca="1" si="87"/>
        <v>198.67251226010237</v>
      </c>
      <c r="M240" s="306">
        <f t="shared" ca="1" si="103"/>
        <v>1.4580669284280359</v>
      </c>
      <c r="N240" s="304">
        <f t="shared" ca="1" si="104"/>
        <v>83.541081246529927</v>
      </c>
      <c r="P240" s="310">
        <f t="shared" ca="1" si="105"/>
        <v>8</v>
      </c>
      <c r="Q240" s="304">
        <f t="shared" ca="1" si="106"/>
        <v>857.51388888888982</v>
      </c>
      <c r="R240" s="306">
        <f t="shared" ca="1" si="107"/>
        <v>0.42955637109716893</v>
      </c>
      <c r="S240" s="307">
        <f t="shared" ca="1" si="108"/>
        <v>11.353249296538158</v>
      </c>
      <c r="T240" s="304">
        <f t="shared" ca="1" si="88"/>
        <v>111.37537559903933</v>
      </c>
      <c r="U240" s="311">
        <f t="shared" ca="1" si="89"/>
        <v>0</v>
      </c>
      <c r="V240" s="306">
        <f t="shared" ca="1" si="90"/>
        <v>1.201034815411484</v>
      </c>
      <c r="W240" s="304">
        <f t="shared" ca="1" si="91"/>
        <v>129.96731815115206</v>
      </c>
      <c r="Y240" s="314" t="str">
        <f t="shared" ca="1" si="109"/>
        <v/>
      </c>
      <c r="Z240" s="315" t="str">
        <f t="shared" ca="1" si="110"/>
        <v/>
      </c>
      <c r="AA240" s="316" t="str">
        <f t="shared" ca="1" si="111"/>
        <v/>
      </c>
      <c r="AC240" s="310" t="e">
        <f t="shared" ca="1" si="112"/>
        <v>#N/A</v>
      </c>
      <c r="AD240" s="323" t="e">
        <f t="shared" ca="1" si="113"/>
        <v>#N/A</v>
      </c>
      <c r="AE240" s="324">
        <f t="shared" ca="1" si="92"/>
        <v>197.5666996720438</v>
      </c>
      <c r="AG240" s="306">
        <f t="shared" ca="1" si="114"/>
        <v>54.410116216780239</v>
      </c>
      <c r="AH240" s="304">
        <f t="shared" ca="1" si="115"/>
        <v>64.157925266274361</v>
      </c>
    </row>
    <row r="241" spans="1:34" x14ac:dyDescent="0.25">
      <c r="A241" s="347">
        <f t="shared" ca="1" si="93"/>
        <v>0.01</v>
      </c>
      <c r="B241" s="304">
        <f t="shared" ca="1" si="94"/>
        <v>2.3699999999999934</v>
      </c>
      <c r="D241" s="306">
        <f t="shared" ca="1" si="95"/>
        <v>7.1971722965130613</v>
      </c>
      <c r="E241" s="307">
        <f t="shared" ca="1" si="96"/>
        <v>53.764005692038737</v>
      </c>
      <c r="F241" s="304">
        <f t="shared" ca="1" si="97"/>
        <v>54.243594987051409</v>
      </c>
      <c r="G241" s="306">
        <f t="shared" ca="1" si="98"/>
        <v>18.223458646836995</v>
      </c>
      <c r="H241" s="307">
        <f t="shared" ca="1" si="99"/>
        <v>160.87321151132011</v>
      </c>
      <c r="I241" s="304">
        <f t="shared" ca="1" si="100"/>
        <v>161.90208345484291</v>
      </c>
      <c r="J241" s="306">
        <f t="shared" ca="1" si="101"/>
        <v>21.114297149469571</v>
      </c>
      <c r="K241" s="307">
        <f t="shared" ca="1" si="102"/>
        <v>199.1727435868724</v>
      </c>
      <c r="L241" s="304">
        <f t="shared" ca="1" si="87"/>
        <v>200.28877984559725</v>
      </c>
      <c r="M241" s="306">
        <f t="shared" ca="1" si="103"/>
        <v>1.4579987678068607</v>
      </c>
      <c r="N241" s="304">
        <f t="shared" ca="1" si="104"/>
        <v>83.537175930607603</v>
      </c>
      <c r="P241" s="310">
        <f t="shared" ca="1" si="105"/>
        <v>8</v>
      </c>
      <c r="Q241" s="304">
        <f t="shared" ca="1" si="106"/>
        <v>856.07500000000095</v>
      </c>
      <c r="R241" s="306">
        <f t="shared" ca="1" si="107"/>
        <v>0.42883558523290261</v>
      </c>
      <c r="S241" s="307">
        <f t="shared" ca="1" si="108"/>
        <v>11.348960940685828</v>
      </c>
      <c r="T241" s="304">
        <f t="shared" ca="1" si="88"/>
        <v>111.33330682812797</v>
      </c>
      <c r="U241" s="311">
        <f t="shared" ca="1" si="89"/>
        <v>0</v>
      </c>
      <c r="V241" s="306">
        <f t="shared" ca="1" si="90"/>
        <v>1.2008419204597001</v>
      </c>
      <c r="W241" s="304">
        <f t="shared" ca="1" si="91"/>
        <v>130.82140252834384</v>
      </c>
      <c r="Y241" s="314" t="str">
        <f t="shared" ca="1" si="109"/>
        <v/>
      </c>
      <c r="Z241" s="315" t="str">
        <f t="shared" ca="1" si="110"/>
        <v/>
      </c>
      <c r="AA241" s="316" t="str">
        <f t="shared" ca="1" si="111"/>
        <v/>
      </c>
      <c r="AC241" s="310" t="e">
        <f t="shared" ca="1" si="112"/>
        <v>#N/A</v>
      </c>
      <c r="AD241" s="323" t="e">
        <f t="shared" ca="1" si="113"/>
        <v>#N/A</v>
      </c>
      <c r="AE241" s="324">
        <f t="shared" ca="1" si="92"/>
        <v>199.1727435868724</v>
      </c>
      <c r="AG241" s="306">
        <f t="shared" ca="1" si="114"/>
        <v>54.23236864069488</v>
      </c>
      <c r="AH241" s="304">
        <f t="shared" ca="1" si="115"/>
        <v>63.980102288110395</v>
      </c>
    </row>
    <row r="242" spans="1:34" x14ac:dyDescent="0.25">
      <c r="A242" s="347">
        <f t="shared" ca="1" si="93"/>
        <v>0.01</v>
      </c>
      <c r="B242" s="304">
        <f t="shared" ca="1" si="94"/>
        <v>2.3799999999999932</v>
      </c>
      <c r="D242" s="306">
        <f t="shared" ca="1" si="95"/>
        <v>7.181472964910129</v>
      </c>
      <c r="E242" s="307">
        <f t="shared" ca="1" si="96"/>
        <v>53.586671380344065</v>
      </c>
      <c r="F242" s="304">
        <f t="shared" ca="1" si="97"/>
        <v>54.065746120540318</v>
      </c>
      <c r="G242" s="306">
        <f t="shared" ca="1" si="98"/>
        <v>18.295273376486097</v>
      </c>
      <c r="H242" s="307">
        <f t="shared" ca="1" si="99"/>
        <v>161.40907822512355</v>
      </c>
      <c r="I242" s="304">
        <f t="shared" ca="1" si="100"/>
        <v>162.44262852282466</v>
      </c>
      <c r="J242" s="306">
        <f t="shared" ca="1" si="101"/>
        <v>21.296890809586188</v>
      </c>
      <c r="K242" s="307">
        <f t="shared" ca="1" si="102"/>
        <v>200.78415503555462</v>
      </c>
      <c r="L242" s="304">
        <f t="shared" ca="1" si="87"/>
        <v>201.91046152068762</v>
      </c>
      <c r="M242" s="306">
        <f t="shared" ca="1" si="103"/>
        <v>1.4579307930962297</v>
      </c>
      <c r="N242" s="304">
        <f t="shared" ca="1" si="104"/>
        <v>83.533281266574818</v>
      </c>
      <c r="P242" s="310">
        <f t="shared" ca="1" si="105"/>
        <v>8</v>
      </c>
      <c r="Q242" s="304">
        <f t="shared" ca="1" si="106"/>
        <v>854.63611111111209</v>
      </c>
      <c r="R242" s="306">
        <f t="shared" ca="1" si="107"/>
        <v>0.42811479936863633</v>
      </c>
      <c r="S242" s="307">
        <f t="shared" ca="1" si="108"/>
        <v>11.344679792692142</v>
      </c>
      <c r="T242" s="304">
        <f t="shared" ca="1" si="88"/>
        <v>111.29130876630992</v>
      </c>
      <c r="U242" s="311">
        <f t="shared" ca="1" si="89"/>
        <v>0</v>
      </c>
      <c r="V242" s="306">
        <f t="shared" ca="1" si="90"/>
        <v>1.20064841166255</v>
      </c>
      <c r="W242" s="304">
        <f t="shared" ca="1" si="91"/>
        <v>131.67518968108575</v>
      </c>
      <c r="Y242" s="314" t="str">
        <f t="shared" ca="1" si="109"/>
        <v/>
      </c>
      <c r="Z242" s="315" t="str">
        <f t="shared" ca="1" si="110"/>
        <v/>
      </c>
      <c r="AA242" s="316" t="str">
        <f t="shared" ca="1" si="111"/>
        <v/>
      </c>
      <c r="AC242" s="310" t="e">
        <f t="shared" ca="1" si="112"/>
        <v>#N/A</v>
      </c>
      <c r="AD242" s="323" t="e">
        <f t="shared" ca="1" si="113"/>
        <v>#N/A</v>
      </c>
      <c r="AE242" s="324">
        <f t="shared" ca="1" si="92"/>
        <v>200.78415503555462</v>
      </c>
      <c r="AG242" s="306">
        <f t="shared" ca="1" si="114"/>
        <v>54.054469269372035</v>
      </c>
      <c r="AH242" s="304">
        <f t="shared" ca="1" si="115"/>
        <v>63.80212767653655</v>
      </c>
    </row>
    <row r="243" spans="1:34" x14ac:dyDescent="0.25">
      <c r="A243" s="347">
        <f t="shared" ca="1" si="93"/>
        <v>0.01</v>
      </c>
      <c r="B243" s="304">
        <f t="shared" ca="1" si="94"/>
        <v>2.389999999999993</v>
      </c>
      <c r="D243" s="306">
        <f t="shared" ca="1" si="95"/>
        <v>7.1657210024685645</v>
      </c>
      <c r="E243" s="307">
        <f t="shared" ca="1" si="96"/>
        <v>53.409193177697418</v>
      </c>
      <c r="F243" s="304">
        <f t="shared" ca="1" si="97"/>
        <v>53.887748824550272</v>
      </c>
      <c r="G243" s="306">
        <f t="shared" ca="1" si="98"/>
        <v>18.366930586510783</v>
      </c>
      <c r="H243" s="307">
        <f t="shared" ca="1" si="99"/>
        <v>161.94317015690052</v>
      </c>
      <c r="I243" s="304">
        <f t="shared" ca="1" si="100"/>
        <v>162.98139310865071</v>
      </c>
      <c r="J243" s="306">
        <f t="shared" ca="1" si="101"/>
        <v>21.480201829401171</v>
      </c>
      <c r="K243" s="307">
        <f t="shared" ca="1" si="102"/>
        <v>202.40091627746475</v>
      </c>
      <c r="L243" s="304">
        <f t="shared" ca="1" si="87"/>
        <v>203.53753948741027</v>
      </c>
      <c r="M243" s="306">
        <f t="shared" ca="1" si="103"/>
        <v>1.4578630024339077</v>
      </c>
      <c r="N243" s="304">
        <f t="shared" ca="1" si="104"/>
        <v>83.529397147733377</v>
      </c>
      <c r="P243" s="310">
        <f t="shared" ca="1" si="105"/>
        <v>8</v>
      </c>
      <c r="Q243" s="304">
        <f t="shared" ca="1" si="106"/>
        <v>853.19722222222322</v>
      </c>
      <c r="R243" s="306">
        <f t="shared" ca="1" si="107"/>
        <v>0.42739401350437001</v>
      </c>
      <c r="S243" s="307">
        <f t="shared" ca="1" si="108"/>
        <v>11.340405852557099</v>
      </c>
      <c r="T243" s="304">
        <f t="shared" ca="1" si="88"/>
        <v>111.24938141358516</v>
      </c>
      <c r="U243" s="311">
        <f t="shared" ca="1" si="89"/>
        <v>0</v>
      </c>
      <c r="V243" s="306">
        <f t="shared" ca="1" si="90"/>
        <v>1.2004542914510601</v>
      </c>
      <c r="W243" s="304">
        <f t="shared" ca="1" si="91"/>
        <v>132.528647305117</v>
      </c>
      <c r="Y243" s="314" t="str">
        <f t="shared" ca="1" si="109"/>
        <v/>
      </c>
      <c r="Z243" s="315" t="str">
        <f t="shared" ca="1" si="110"/>
        <v/>
      </c>
      <c r="AA243" s="316" t="str">
        <f t="shared" ca="1" si="111"/>
        <v/>
      </c>
      <c r="AC243" s="310" t="e">
        <f t="shared" ca="1" si="112"/>
        <v>#N/A</v>
      </c>
      <c r="AD243" s="323" t="e">
        <f t="shared" ca="1" si="113"/>
        <v>#N/A</v>
      </c>
      <c r="AE243" s="324">
        <f t="shared" ca="1" si="92"/>
        <v>202.40091627746475</v>
      </c>
      <c r="AG243" s="306">
        <f t="shared" ca="1" si="114"/>
        <v>53.876421132952643</v>
      </c>
      <c r="AH243" s="304">
        <f t="shared" ca="1" si="115"/>
        <v>63.624004459985407</v>
      </c>
    </row>
    <row r="244" spans="1:34" x14ac:dyDescent="0.25">
      <c r="A244" s="347">
        <f t="shared" ca="1" si="93"/>
        <v>0.01</v>
      </c>
      <c r="B244" s="304">
        <f t="shared" ca="1" si="94"/>
        <v>2.3999999999999928</v>
      </c>
      <c r="D244" s="306">
        <f t="shared" ca="1" si="95"/>
        <v>7.1499169362056687</v>
      </c>
      <c r="E244" s="307">
        <f t="shared" ca="1" si="96"/>
        <v>53.23157406997769</v>
      </c>
      <c r="F244" s="304">
        <f t="shared" ca="1" si="97"/>
        <v>53.709606125554131</v>
      </c>
      <c r="G244" s="306">
        <f t="shared" ca="1" si="98"/>
        <v>18.438429755872839</v>
      </c>
      <c r="H244" s="307">
        <f t="shared" ca="1" si="99"/>
        <v>162.47548589760029</v>
      </c>
      <c r="I244" s="304">
        <f t="shared" ca="1" si="100"/>
        <v>163.51837575490887</v>
      </c>
      <c r="J244" s="306">
        <f t="shared" ca="1" si="101"/>
        <v>21.66422863111309</v>
      </c>
      <c r="K244" s="307">
        <f t="shared" ca="1" si="102"/>
        <v>204.02300955773725</v>
      </c>
      <c r="L244" s="304">
        <f t="shared" ca="1" si="87"/>
        <v>205.1699959330742</v>
      </c>
      <c r="M244" s="306">
        <f t="shared" ca="1" si="103"/>
        <v>1.4577953939803634</v>
      </c>
      <c r="N244" s="304">
        <f t="shared" ca="1" si="104"/>
        <v>83.525523468685876</v>
      </c>
      <c r="P244" s="310">
        <f t="shared" ca="1" si="105"/>
        <v>8</v>
      </c>
      <c r="Q244" s="304">
        <f t="shared" ca="1" si="106"/>
        <v>851.75833333333435</v>
      </c>
      <c r="R244" s="306">
        <f t="shared" ca="1" si="107"/>
        <v>0.42667322764010368</v>
      </c>
      <c r="S244" s="307">
        <f t="shared" ca="1" si="108"/>
        <v>11.336139120280698</v>
      </c>
      <c r="T244" s="304">
        <f t="shared" ca="1" si="88"/>
        <v>111.20752476995366</v>
      </c>
      <c r="U244" s="311">
        <f t="shared" ca="1" si="89"/>
        <v>0</v>
      </c>
      <c r="V244" s="306">
        <f t="shared" ca="1" si="90"/>
        <v>1.2002595622574774</v>
      </c>
      <c r="W244" s="304">
        <f t="shared" ca="1" si="91"/>
        <v>133.38174323565281</v>
      </c>
      <c r="Y244" s="314" t="str">
        <f t="shared" ca="1" si="109"/>
        <v/>
      </c>
      <c r="Z244" s="315" t="str">
        <f t="shared" ca="1" si="110"/>
        <v/>
      </c>
      <c r="AA244" s="316" t="str">
        <f t="shared" ca="1" si="111"/>
        <v/>
      </c>
      <c r="AC244" s="310" t="e">
        <f t="shared" ca="1" si="112"/>
        <v>#N/A</v>
      </c>
      <c r="AD244" s="323" t="e">
        <f t="shared" ca="1" si="113"/>
        <v>#N/A</v>
      </c>
      <c r="AE244" s="324">
        <f t="shared" ca="1" si="92"/>
        <v>204.02300955773725</v>
      </c>
      <c r="AG244" s="306">
        <f t="shared" ca="1" si="114"/>
        <v>53.698227254483626</v>
      </c>
      <c r="AH244" s="304">
        <f t="shared" ca="1" si="115"/>
        <v>63.445735659815028</v>
      </c>
    </row>
    <row r="245" spans="1:34" x14ac:dyDescent="0.25">
      <c r="A245" s="347">
        <f t="shared" ca="1" si="93"/>
        <v>0.01</v>
      </c>
      <c r="B245" s="304">
        <f t="shared" ca="1" si="94"/>
        <v>2.4099999999999926</v>
      </c>
      <c r="D245" s="306">
        <f t="shared" ca="1" si="95"/>
        <v>7.1340612905493987</v>
      </c>
      <c r="E245" s="307">
        <f t="shared" ca="1" si="96"/>
        <v>53.053817036051299</v>
      </c>
      <c r="F245" s="304">
        <f t="shared" ca="1" si="97"/>
        <v>53.531321042844837</v>
      </c>
      <c r="G245" s="306">
        <f t="shared" ca="1" si="98"/>
        <v>18.509770368778334</v>
      </c>
      <c r="H245" s="307">
        <f t="shared" ca="1" si="99"/>
        <v>163.00602406796079</v>
      </c>
      <c r="I245" s="304">
        <f t="shared" ca="1" si="100"/>
        <v>164.05357503434516</v>
      </c>
      <c r="J245" s="306">
        <f t="shared" ca="1" si="101"/>
        <v>21.848969631736345</v>
      </c>
      <c r="K245" s="307">
        <f t="shared" ca="1" si="102"/>
        <v>205.65041710756506</v>
      </c>
      <c r="L245" s="304">
        <f t="shared" ca="1" si="87"/>
        <v>206.80781303056233</v>
      </c>
      <c r="M245" s="306">
        <f t="shared" ca="1" si="103"/>
        <v>1.4577279659183848</v>
      </c>
      <c r="N245" s="304">
        <f t="shared" ca="1" si="104"/>
        <v>83.521660125313758</v>
      </c>
      <c r="P245" s="310">
        <f t="shared" ca="1" si="105"/>
        <v>8</v>
      </c>
      <c r="Q245" s="304">
        <f t="shared" ca="1" si="106"/>
        <v>850.31944444444548</v>
      </c>
      <c r="R245" s="306">
        <f t="shared" ca="1" si="107"/>
        <v>0.42595244177583741</v>
      </c>
      <c r="S245" s="307">
        <f t="shared" ca="1" si="108"/>
        <v>11.33187959586294</v>
      </c>
      <c r="T245" s="304">
        <f t="shared" ca="1" si="88"/>
        <v>111.16573883541545</v>
      </c>
      <c r="U245" s="311">
        <f t="shared" ca="1" si="89"/>
        <v>0</v>
      </c>
      <c r="V245" s="306">
        <f t="shared" ca="1" si="90"/>
        <v>1.2000642265152257</v>
      </c>
      <c r="W245" s="304">
        <f t="shared" ca="1" si="91"/>
        <v>134.23444544840433</v>
      </c>
      <c r="Y245" s="314" t="str">
        <f t="shared" ca="1" si="109"/>
        <v/>
      </c>
      <c r="Z245" s="315" t="str">
        <f t="shared" ca="1" si="110"/>
        <v/>
      </c>
      <c r="AA245" s="316" t="str">
        <f t="shared" ca="1" si="111"/>
        <v/>
      </c>
      <c r="AC245" s="310" t="e">
        <f t="shared" ca="1" si="112"/>
        <v>#N/A</v>
      </c>
      <c r="AD245" s="323" t="e">
        <f t="shared" ca="1" si="113"/>
        <v>#N/A</v>
      </c>
      <c r="AE245" s="324">
        <f t="shared" ca="1" si="92"/>
        <v>205.65041710756506</v>
      </c>
      <c r="AG245" s="306">
        <f t="shared" ca="1" si="114"/>
        <v>53.519890649794348</v>
      </c>
      <c r="AH245" s="304">
        <f t="shared" ca="1" si="115"/>
        <v>63.26732429018513</v>
      </c>
    </row>
    <row r="246" spans="1:34" x14ac:dyDescent="0.25">
      <c r="A246" s="347">
        <f t="shared" ca="1" si="93"/>
        <v>0.01</v>
      </c>
      <c r="B246" s="304">
        <f t="shared" ca="1" si="94"/>
        <v>2.4199999999999924</v>
      </c>
      <c r="D246" s="306">
        <f t="shared" ca="1" si="95"/>
        <v>7.1151101731766762</v>
      </c>
      <c r="E246" s="307">
        <f t="shared" ca="1" si="96"/>
        <v>52.849114458348588</v>
      </c>
      <c r="F246" s="304">
        <f t="shared" ca="1" si="97"/>
        <v>53.325919512072851</v>
      </c>
      <c r="G246" s="306">
        <f t="shared" ca="1" si="98"/>
        <v>18.580921470510102</v>
      </c>
      <c r="H246" s="307">
        <f t="shared" ca="1" si="99"/>
        <v>163.53451521254428</v>
      </c>
      <c r="I246" s="304">
        <f t="shared" ca="1" si="100"/>
        <v>164.58671972092748</v>
      </c>
      <c r="J246" s="306">
        <f t="shared" ca="1" si="101"/>
        <v>22.034423090932787</v>
      </c>
      <c r="K246" s="307">
        <f t="shared" ca="1" si="102"/>
        <v>207.28311980396759</v>
      </c>
      <c r="L246" s="304">
        <f t="shared" ca="1" si="87"/>
        <v>208.45097158952322</v>
      </c>
      <c r="M246" s="306">
        <f t="shared" ca="1" si="103"/>
        <v>1.4576607163424504</v>
      </c>
      <c r="N246" s="304">
        <f t="shared" ca="1" si="104"/>
        <v>83.51780700843868</v>
      </c>
      <c r="P246" s="310">
        <f t="shared" ca="1" si="105"/>
        <v>9</v>
      </c>
      <c r="Q246" s="304">
        <f t="shared" ca="1" si="106"/>
        <v>848.57500000000164</v>
      </c>
      <c r="R246" s="306">
        <f t="shared" ca="1" si="107"/>
        <v>0.42507859327630249</v>
      </c>
      <c r="S246" s="307">
        <f t="shared" ca="1" si="108"/>
        <v>11.327628809930177</v>
      </c>
      <c r="T246" s="304">
        <f t="shared" ca="1" si="88"/>
        <v>111.12403862541504</v>
      </c>
      <c r="U246" s="311">
        <f t="shared" ca="1" si="89"/>
        <v>0</v>
      </c>
      <c r="V246" s="306">
        <f t="shared" ca="1" si="90"/>
        <v>1.1998682868197155</v>
      </c>
      <c r="W246" s="304">
        <f t="shared" ca="1" si="91"/>
        <v>135.08627914858312</v>
      </c>
      <c r="Y246" s="314" t="str">
        <f t="shared" ca="1" si="109"/>
        <v/>
      </c>
      <c r="Z246" s="315" t="str">
        <f t="shared" ca="1" si="110"/>
        <v/>
      </c>
      <c r="AA246" s="316" t="str">
        <f t="shared" ca="1" si="111"/>
        <v/>
      </c>
      <c r="AC246" s="310" t="e">
        <f t="shared" ca="1" si="112"/>
        <v>#N/A</v>
      </c>
      <c r="AD246" s="323" t="e">
        <f t="shared" ca="1" si="113"/>
        <v>#N/A</v>
      </c>
      <c r="AE246" s="324">
        <f t="shared" ca="1" si="92"/>
        <v>207.28311980396759</v>
      </c>
      <c r="AG246" s="306">
        <f t="shared" ca="1" si="114"/>
        <v>53.314431441015238</v>
      </c>
      <c r="AH246" s="304">
        <f t="shared" ca="1" si="115"/>
        <v>63.06179047157535</v>
      </c>
    </row>
    <row r="247" spans="1:34" x14ac:dyDescent="0.25">
      <c r="A247" s="347">
        <f t="shared" ca="1" si="93"/>
        <v>0.01</v>
      </c>
      <c r="B247" s="304">
        <f t="shared" ca="1" si="94"/>
        <v>2.4299999999999922</v>
      </c>
      <c r="D247" s="306">
        <f t="shared" ca="1" si="95"/>
        <v>7.0930587429460337</v>
      </c>
      <c r="E247" s="307">
        <f t="shared" ca="1" si="96"/>
        <v>52.617470281425916</v>
      </c>
      <c r="F247" s="304">
        <f t="shared" ca="1" si="97"/>
        <v>53.093405062659365</v>
      </c>
      <c r="G247" s="306">
        <f t="shared" ca="1" si="98"/>
        <v>18.651852057939561</v>
      </c>
      <c r="H247" s="307">
        <f t="shared" ca="1" si="99"/>
        <v>164.06068991535852</v>
      </c>
      <c r="I247" s="304">
        <f t="shared" ca="1" si="100"/>
        <v>165.11753862232408</v>
      </c>
      <c r="J247" s="306">
        <f t="shared" ca="1" si="101"/>
        <v>22.220586958575034</v>
      </c>
      <c r="K247" s="307">
        <f t="shared" ca="1" si="102"/>
        <v>208.92109582960711</v>
      </c>
      <c r="L247" s="304">
        <f t="shared" ca="1" si="87"/>
        <v>210.09944970757888</v>
      </c>
      <c r="M247" s="306">
        <f t="shared" ca="1" si="103"/>
        <v>1.4575936432608712</v>
      </c>
      <c r="N247" s="304">
        <f t="shared" ca="1" si="104"/>
        <v>83.513964003945247</v>
      </c>
      <c r="P247" s="310">
        <f t="shared" ca="1" si="105"/>
        <v>9</v>
      </c>
      <c r="Q247" s="304">
        <f t="shared" ca="1" si="106"/>
        <v>846.52500000000168</v>
      </c>
      <c r="R247" s="306">
        <f t="shared" ca="1" si="107"/>
        <v>0.42405168214149835</v>
      </c>
      <c r="S247" s="307">
        <f t="shared" ca="1" si="108"/>
        <v>11.323388293108762</v>
      </c>
      <c r="T247" s="304">
        <f t="shared" ca="1" si="88"/>
        <v>111.08243915539695</v>
      </c>
      <c r="U247" s="311">
        <f t="shared" ca="1" si="89"/>
        <v>0</v>
      </c>
      <c r="V247" s="306">
        <f t="shared" ca="1" si="90"/>
        <v>1.1996717460890001</v>
      </c>
      <c r="W247" s="304">
        <f t="shared" ca="1" si="91"/>
        <v>135.93676429958126</v>
      </c>
      <c r="Y247" s="314" t="str">
        <f t="shared" ca="1" si="109"/>
        <v/>
      </c>
      <c r="Z247" s="315" t="str">
        <f t="shared" ca="1" si="110"/>
        <v/>
      </c>
      <c r="AA247" s="316" t="str">
        <f t="shared" ca="1" si="111"/>
        <v/>
      </c>
      <c r="AC247" s="310" t="e">
        <f t="shared" ca="1" si="112"/>
        <v>#N/A</v>
      </c>
      <c r="AD247" s="323" t="e">
        <f t="shared" ca="1" si="113"/>
        <v>#N/A</v>
      </c>
      <c r="AE247" s="324">
        <f t="shared" ca="1" si="92"/>
        <v>208.92109582960711</v>
      </c>
      <c r="AG247" s="306">
        <f t="shared" ca="1" si="114"/>
        <v>53.081852998136938</v>
      </c>
      <c r="AH247" s="304">
        <f t="shared" ca="1" si="115"/>
        <v>62.82913757222201</v>
      </c>
    </row>
    <row r="248" spans="1:34" x14ac:dyDescent="0.25">
      <c r="A248" s="347">
        <f t="shared" ca="1" si="93"/>
        <v>0.01</v>
      </c>
      <c r="B248" s="304">
        <f t="shared" ca="1" si="94"/>
        <v>2.439999999999992</v>
      </c>
      <c r="D248" s="306">
        <f t="shared" ca="1" si="95"/>
        <v>7.0709525636838197</v>
      </c>
      <c r="E248" s="307">
        <f t="shared" ca="1" si="96"/>
        <v>52.385719350182924</v>
      </c>
      <c r="F248" s="304">
        <f t="shared" ca="1" si="97"/>
        <v>52.860779052091132</v>
      </c>
      <c r="G248" s="306">
        <f t="shared" ca="1" si="98"/>
        <v>18.7225615835764</v>
      </c>
      <c r="H248" s="307">
        <f t="shared" ca="1" si="99"/>
        <v>164.58454710886036</v>
      </c>
      <c r="I248" s="304">
        <f t="shared" ca="1" si="100"/>
        <v>165.64603061733621</v>
      </c>
      <c r="J248" s="306">
        <f t="shared" ca="1" si="101"/>
        <v>22.407459026782615</v>
      </c>
      <c r="K248" s="307">
        <f t="shared" ca="1" si="102"/>
        <v>210.56432201472822</v>
      </c>
      <c r="L248" s="304">
        <f t="shared" ca="1" si="87"/>
        <v>211.7532241208126</v>
      </c>
      <c r="M248" s="306">
        <f t="shared" ca="1" si="103"/>
        <v>1.457526744706912</v>
      </c>
      <c r="N248" s="304">
        <f t="shared" ca="1" si="104"/>
        <v>83.510130999147862</v>
      </c>
      <c r="P248" s="310">
        <f t="shared" ca="1" si="105"/>
        <v>9</v>
      </c>
      <c r="Q248" s="304">
        <f t="shared" ca="1" si="106"/>
        <v>844.47500000000173</v>
      </c>
      <c r="R248" s="306">
        <f t="shared" ca="1" si="107"/>
        <v>0.42302477100669422</v>
      </c>
      <c r="S248" s="307">
        <f t="shared" ca="1" si="108"/>
        <v>11.319158045398694</v>
      </c>
      <c r="T248" s="304">
        <f t="shared" ca="1" si="88"/>
        <v>111.0409404253612</v>
      </c>
      <c r="U248" s="311">
        <f t="shared" ca="1" si="89"/>
        <v>0</v>
      </c>
      <c r="V248" s="306">
        <f t="shared" ca="1" si="90"/>
        <v>1.1994746074025182</v>
      </c>
      <c r="W248" s="304">
        <f t="shared" ca="1" si="91"/>
        <v>136.78586165119378</v>
      </c>
      <c r="Y248" s="314" t="str">
        <f t="shared" ca="1" si="109"/>
        <v/>
      </c>
      <c r="Z248" s="315" t="str">
        <f t="shared" ca="1" si="110"/>
        <v/>
      </c>
      <c r="AA248" s="316" t="str">
        <f t="shared" ca="1" si="111"/>
        <v/>
      </c>
      <c r="AC248" s="310" t="e">
        <f t="shared" ca="1" si="112"/>
        <v>#N/A</v>
      </c>
      <c r="AD248" s="323" t="e">
        <f t="shared" ca="1" si="113"/>
        <v>#N/A</v>
      </c>
      <c r="AE248" s="324">
        <f t="shared" ca="1" si="92"/>
        <v>210.56432201472822</v>
      </c>
      <c r="AG248" s="306">
        <f t="shared" ca="1" si="114"/>
        <v>52.849162434462841</v>
      </c>
      <c r="AH248" s="304">
        <f t="shared" ca="1" si="115"/>
        <v>62.596372703572733</v>
      </c>
    </row>
    <row r="249" spans="1:34" x14ac:dyDescent="0.25">
      <c r="A249" s="347">
        <f t="shared" ca="1" si="93"/>
        <v>0.01</v>
      </c>
      <c r="B249" s="304">
        <f t="shared" ca="1" si="94"/>
        <v>2.4499999999999917</v>
      </c>
      <c r="D249" s="306">
        <f t="shared" ca="1" si="95"/>
        <v>7.0487923074307819</v>
      </c>
      <c r="E249" s="307">
        <f t="shared" ca="1" si="96"/>
        <v>52.153865596285918</v>
      </c>
      <c r="F249" s="304">
        <f t="shared" ca="1" si="97"/>
        <v>52.628045466545224</v>
      </c>
      <c r="G249" s="306">
        <f t="shared" ca="1" si="98"/>
        <v>18.793049506650707</v>
      </c>
      <c r="H249" s="307">
        <f t="shared" ca="1" si="99"/>
        <v>165.10608576482323</v>
      </c>
      <c r="I249" s="304">
        <f t="shared" ca="1" si="100"/>
        <v>166.17219462455381</v>
      </c>
      <c r="J249" s="306">
        <f t="shared" ca="1" si="101"/>
        <v>22.595037082233752</v>
      </c>
      <c r="K249" s="307">
        <f t="shared" ca="1" si="102"/>
        <v>212.21277517909664</v>
      </c>
      <c r="L249" s="304">
        <f t="shared" ca="1" si="87"/>
        <v>213.4122715542884</v>
      </c>
      <c r="M249" s="306">
        <f t="shared" ca="1" si="103"/>
        <v>1.4574600187383449</v>
      </c>
      <c r="N249" s="304">
        <f t="shared" ca="1" si="104"/>
        <v>83.506307882765043</v>
      </c>
      <c r="P249" s="310">
        <f t="shared" ca="1" si="105"/>
        <v>9</v>
      </c>
      <c r="Q249" s="304">
        <f t="shared" ca="1" si="106"/>
        <v>842.42500000000177</v>
      </c>
      <c r="R249" s="306">
        <f t="shared" ca="1" si="107"/>
        <v>0.42199785987189015</v>
      </c>
      <c r="S249" s="307">
        <f t="shared" ca="1" si="108"/>
        <v>11.314938066799975</v>
      </c>
      <c r="T249" s="304">
        <f t="shared" ca="1" si="88"/>
        <v>110.99954243530776</v>
      </c>
      <c r="U249" s="311">
        <f t="shared" ca="1" si="89"/>
        <v>0</v>
      </c>
      <c r="V249" s="306">
        <f t="shared" ca="1" si="90"/>
        <v>1.1992768738399955</v>
      </c>
      <c r="W249" s="304">
        <f t="shared" ca="1" si="91"/>
        <v>137.63353219490696</v>
      </c>
      <c r="Y249" s="314" t="str">
        <f t="shared" ca="1" si="109"/>
        <v/>
      </c>
      <c r="Z249" s="315" t="str">
        <f t="shared" ca="1" si="110"/>
        <v/>
      </c>
      <c r="AA249" s="316" t="str">
        <f t="shared" ca="1" si="111"/>
        <v/>
      </c>
      <c r="AC249" s="310" t="e">
        <f t="shared" ca="1" si="112"/>
        <v>#N/A</v>
      </c>
      <c r="AD249" s="323" t="e">
        <f t="shared" ca="1" si="113"/>
        <v>#N/A</v>
      </c>
      <c r="AE249" s="324">
        <f t="shared" ca="1" si="92"/>
        <v>212.21277517909664</v>
      </c>
      <c r="AG249" s="306">
        <f t="shared" ca="1" si="114"/>
        <v>52.616363728879087</v>
      </c>
      <c r="AH249" s="304">
        <f t="shared" ca="1" si="115"/>
        <v>62.36349984267946</v>
      </c>
    </row>
    <row r="250" spans="1:34" x14ac:dyDescent="0.25">
      <c r="A250" s="347">
        <f t="shared" ca="1" si="93"/>
        <v>0.01</v>
      </c>
      <c r="B250" s="304">
        <f t="shared" ca="1" si="94"/>
        <v>2.4599999999999915</v>
      </c>
      <c r="D250" s="306">
        <f t="shared" ca="1" si="95"/>
        <v>7.0265786423809482</v>
      </c>
      <c r="E250" s="307">
        <f t="shared" ca="1" si="96"/>
        <v>51.921912936836719</v>
      </c>
      <c r="F250" s="304">
        <f t="shared" ca="1" si="97"/>
        <v>52.39520827745622</v>
      </c>
      <c r="G250" s="306">
        <f t="shared" ca="1" si="98"/>
        <v>18.863315293074518</v>
      </c>
      <c r="H250" s="307">
        <f t="shared" ca="1" si="99"/>
        <v>165.6253048941916</v>
      </c>
      <c r="I250" s="304">
        <f t="shared" ca="1" si="100"/>
        <v>166.69602960220698</v>
      </c>
      <c r="J250" s="306">
        <f t="shared" ca="1" si="101"/>
        <v>22.783318906232378</v>
      </c>
      <c r="K250" s="307">
        <f t="shared" ca="1" si="102"/>
        <v>213.86643213239171</v>
      </c>
      <c r="L250" s="304">
        <f t="shared" ca="1" si="87"/>
        <v>215.07656872244823</v>
      </c>
      <c r="M250" s="306">
        <f t="shared" ca="1" si="103"/>
        <v>1.45739346343701</v>
      </c>
      <c r="N250" s="304">
        <f t="shared" ca="1" si="104"/>
        <v>83.502494544894333</v>
      </c>
      <c r="P250" s="310">
        <f t="shared" ca="1" si="105"/>
        <v>9</v>
      </c>
      <c r="Q250" s="304">
        <f t="shared" ca="1" si="106"/>
        <v>840.37500000000182</v>
      </c>
      <c r="R250" s="306">
        <f t="shared" ca="1" si="107"/>
        <v>0.42097094873708601</v>
      </c>
      <c r="S250" s="307">
        <f t="shared" ca="1" si="108"/>
        <v>11.310728357312604</v>
      </c>
      <c r="T250" s="304">
        <f t="shared" ca="1" si="88"/>
        <v>110.95824518523665</v>
      </c>
      <c r="U250" s="311">
        <f t="shared" ca="1" si="89"/>
        <v>0</v>
      </c>
      <c r="V250" s="306">
        <f t="shared" ca="1" si="90"/>
        <v>1.1990785484813811</v>
      </c>
      <c r="W250" s="304">
        <f t="shared" ca="1" si="91"/>
        <v>138.47973716494104</v>
      </c>
      <c r="Y250" s="314" t="str">
        <f t="shared" ca="1" si="109"/>
        <v/>
      </c>
      <c r="Z250" s="315" t="str">
        <f t="shared" ca="1" si="110"/>
        <v/>
      </c>
      <c r="AA250" s="316" t="str">
        <f t="shared" ca="1" si="111"/>
        <v/>
      </c>
      <c r="AC250" s="310" t="e">
        <f t="shared" ca="1" si="112"/>
        <v>#N/A</v>
      </c>
      <c r="AD250" s="323" t="e">
        <f t="shared" ca="1" si="113"/>
        <v>#N/A</v>
      </c>
      <c r="AE250" s="324">
        <f t="shared" ca="1" si="92"/>
        <v>213.86643213239171</v>
      </c>
      <c r="AG250" s="306">
        <f t="shared" ca="1" si="114"/>
        <v>52.383460845413154</v>
      </c>
      <c r="AH250" s="304">
        <f t="shared" ca="1" si="115"/>
        <v>62.130522951756596</v>
      </c>
    </row>
    <row r="251" spans="1:34" x14ac:dyDescent="0.25">
      <c r="A251" s="347">
        <f t="shared" ca="1" si="93"/>
        <v>0.01</v>
      </c>
      <c r="B251" s="304">
        <f t="shared" ca="1" si="94"/>
        <v>2.4699999999999913</v>
      </c>
      <c r="D251" s="306">
        <f t="shared" ca="1" si="95"/>
        <v>7.0043122329056109</v>
      </c>
      <c r="E251" s="307">
        <f t="shared" ca="1" si="96"/>
        <v>51.689865274214256</v>
      </c>
      <c r="F251" s="304">
        <f t="shared" ca="1" si="97"/>
        <v>52.162271441363174</v>
      </c>
      <c r="G251" s="306">
        <f t="shared" ca="1" si="98"/>
        <v>18.933358415403575</v>
      </c>
      <c r="H251" s="307">
        <f t="shared" ca="1" si="99"/>
        <v>166.14220354693376</v>
      </c>
      <c r="I251" s="304">
        <f t="shared" ca="1" si="100"/>
        <v>167.21753454801592</v>
      </c>
      <c r="J251" s="306">
        <f t="shared" ca="1" si="101"/>
        <v>22.972302274774769</v>
      </c>
      <c r="K251" s="307">
        <f t="shared" ca="1" si="102"/>
        <v>215.52526967459733</v>
      </c>
      <c r="L251" s="304">
        <f t="shared" ca="1" si="87"/>
        <v>216.7460923295078</v>
      </c>
      <c r="M251" s="306">
        <f t="shared" ca="1" si="103"/>
        <v>1.4573270769083875</v>
      </c>
      <c r="N251" s="304">
        <f t="shared" ca="1" si="104"/>
        <v>83.498690876987737</v>
      </c>
      <c r="P251" s="310">
        <f t="shared" ca="1" si="105"/>
        <v>9</v>
      </c>
      <c r="Q251" s="304">
        <f t="shared" ca="1" si="106"/>
        <v>838.32500000000175</v>
      </c>
      <c r="R251" s="306">
        <f t="shared" ca="1" si="107"/>
        <v>0.41994403760228183</v>
      </c>
      <c r="S251" s="307">
        <f t="shared" ca="1" si="108"/>
        <v>11.30652891693658</v>
      </c>
      <c r="T251" s="304">
        <f t="shared" ca="1" si="88"/>
        <v>110.91704867514785</v>
      </c>
      <c r="U251" s="311">
        <f t="shared" ca="1" si="89"/>
        <v>0</v>
      </c>
      <c r="V251" s="306">
        <f t="shared" ca="1" si="90"/>
        <v>1.1988796344067858</v>
      </c>
      <c r="W251" s="304">
        <f t="shared" ca="1" si="91"/>
        <v>139.32443803926739</v>
      </c>
      <c r="Y251" s="314" t="str">
        <f t="shared" ca="1" si="109"/>
        <v/>
      </c>
      <c r="Z251" s="315" t="str">
        <f t="shared" ca="1" si="110"/>
        <v/>
      </c>
      <c r="AA251" s="316" t="str">
        <f t="shared" ca="1" si="111"/>
        <v/>
      </c>
      <c r="AC251" s="310" t="e">
        <f t="shared" ca="1" si="112"/>
        <v>#N/A</v>
      </c>
      <c r="AD251" s="323" t="e">
        <f t="shared" ca="1" si="113"/>
        <v>#N/A</v>
      </c>
      <c r="AE251" s="324">
        <f t="shared" ca="1" si="92"/>
        <v>215.52526967459733</v>
      </c>
      <c r="AG251" s="306">
        <f t="shared" ca="1" si="114"/>
        <v>52.150457733078277</v>
      </c>
      <c r="AH251" s="304">
        <f t="shared" ca="1" si="115"/>
        <v>61.897445978025104</v>
      </c>
    </row>
    <row r="252" spans="1:34" x14ac:dyDescent="0.25">
      <c r="A252" s="347">
        <f t="shared" ca="1" si="93"/>
        <v>0.01</v>
      </c>
      <c r="B252" s="304">
        <f t="shared" ca="1" si="94"/>
        <v>2.4799999999999911</v>
      </c>
      <c r="D252" s="306">
        <f t="shared" ca="1" si="95"/>
        <v>6.9819937395765335</v>
      </c>
      <c r="E252" s="307">
        <f t="shared" ca="1" si="96"/>
        <v>51.457726495918379</v>
      </c>
      <c r="F252" s="304">
        <f t="shared" ca="1" si="97"/>
        <v>51.929238899758836</v>
      </c>
      <c r="G252" s="306">
        <f t="shared" ca="1" si="98"/>
        <v>19.003178352799342</v>
      </c>
      <c r="H252" s="307">
        <f t="shared" ca="1" si="99"/>
        <v>166.65678081189293</v>
      </c>
      <c r="I252" s="304">
        <f t="shared" ca="1" si="100"/>
        <v>167.73670849903914</v>
      </c>
      <c r="J252" s="306">
        <f t="shared" ca="1" si="101"/>
        <v>23.161984958615783</v>
      </c>
      <c r="K252" s="307">
        <f t="shared" ca="1" si="102"/>
        <v>217.18926459639147</v>
      </c>
      <c r="L252" s="304">
        <f t="shared" ca="1" si="87"/>
        <v>218.42081906985078</v>
      </c>
      <c r="M252" s="306">
        <f t="shared" ca="1" si="103"/>
        <v>1.4572608572811785</v>
      </c>
      <c r="N252" s="304">
        <f t="shared" ca="1" si="104"/>
        <v>83.494896771827726</v>
      </c>
      <c r="P252" s="310">
        <f t="shared" ca="1" si="105"/>
        <v>9</v>
      </c>
      <c r="Q252" s="304">
        <f t="shared" ca="1" si="106"/>
        <v>836.2750000000018</v>
      </c>
      <c r="R252" s="306">
        <f t="shared" ca="1" si="107"/>
        <v>0.41891712646747775</v>
      </c>
      <c r="S252" s="307">
        <f t="shared" ca="1" si="108"/>
        <v>11.302339745671905</v>
      </c>
      <c r="T252" s="304">
        <f t="shared" ca="1" si="88"/>
        <v>110.87595290504139</v>
      </c>
      <c r="U252" s="311">
        <f t="shared" ca="1" si="89"/>
        <v>0</v>
      </c>
      <c r="V252" s="306">
        <f t="shared" ca="1" si="90"/>
        <v>1.19868013469642</v>
      </c>
      <c r="W252" s="304">
        <f t="shared" ca="1" si="91"/>
        <v>140.16759654059967</v>
      </c>
      <c r="Y252" s="314" t="str">
        <f t="shared" ca="1" si="109"/>
        <v/>
      </c>
      <c r="Z252" s="315" t="str">
        <f t="shared" ca="1" si="110"/>
        <v/>
      </c>
      <c r="AA252" s="316" t="str">
        <f t="shared" ca="1" si="111"/>
        <v/>
      </c>
      <c r="AC252" s="310" t="e">
        <f t="shared" ca="1" si="112"/>
        <v>#N/A</v>
      </c>
      <c r="AD252" s="323" t="e">
        <f t="shared" ca="1" si="113"/>
        <v>#N/A</v>
      </c>
      <c r="AE252" s="324">
        <f t="shared" ca="1" si="92"/>
        <v>217.18926459639147</v>
      </c>
      <c r="AG252" s="306">
        <f t="shared" ca="1" si="114"/>
        <v>51.917358325720109</v>
      </c>
      <c r="AH252" s="304">
        <f t="shared" ca="1" si="115"/>
        <v>61.664272853558771</v>
      </c>
    </row>
    <row r="253" spans="1:34" x14ac:dyDescent="0.25">
      <c r="A253" s="347">
        <f t="shared" ca="1" si="93"/>
        <v>0.01</v>
      </c>
      <c r="B253" s="304">
        <f t="shared" ca="1" si="94"/>
        <v>2.4899999999999909</v>
      </c>
      <c r="D253" s="306">
        <f t="shared" ca="1" si="95"/>
        <v>6.9596238191882902</v>
      </c>
      <c r="E253" s="307">
        <f t="shared" ca="1" si="96"/>
        <v>51.225500474415803</v>
      </c>
      <c r="F253" s="304">
        <f t="shared" ca="1" si="97"/>
        <v>51.696114578940907</v>
      </c>
      <c r="G253" s="306">
        <f t="shared" ca="1" si="98"/>
        <v>19.072774590991227</v>
      </c>
      <c r="H253" s="307">
        <f t="shared" ca="1" si="99"/>
        <v>167.16903581663709</v>
      </c>
      <c r="I253" s="304">
        <f t="shared" ca="1" si="100"/>
        <v>168.25355053152032</v>
      </c>
      <c r="J253" s="306">
        <f t="shared" ca="1" si="101"/>
        <v>23.352364723334734</v>
      </c>
      <c r="K253" s="307">
        <f t="shared" ca="1" si="102"/>
        <v>218.85839367953412</v>
      </c>
      <c r="L253" s="304">
        <f t="shared" ca="1" si="87"/>
        <v>220.10072562842129</v>
      </c>
      <c r="M253" s="306">
        <f t="shared" ca="1" si="103"/>
        <v>1.4571948027068944</v>
      </c>
      <c r="N253" s="304">
        <f t="shared" ca="1" si="104"/>
        <v>83.491112123503711</v>
      </c>
      <c r="P253" s="310">
        <f t="shared" ca="1" si="105"/>
        <v>9</v>
      </c>
      <c r="Q253" s="304">
        <f t="shared" ca="1" si="106"/>
        <v>834.22500000000184</v>
      </c>
      <c r="R253" s="306">
        <f t="shared" ca="1" si="107"/>
        <v>0.41789021533267362</v>
      </c>
      <c r="S253" s="307">
        <f t="shared" ca="1" si="108"/>
        <v>11.298160843518577</v>
      </c>
      <c r="T253" s="304">
        <f t="shared" ca="1" si="88"/>
        <v>110.83495787491725</v>
      </c>
      <c r="U253" s="311">
        <f t="shared" ca="1" si="89"/>
        <v>0</v>
      </c>
      <c r="V253" s="306">
        <f t="shared" ca="1" si="90"/>
        <v>1.1984800524305332</v>
      </c>
      <c r="W253" s="304">
        <f t="shared" ca="1" si="91"/>
        <v>141.00917463735959</v>
      </c>
      <c r="Y253" s="314" t="str">
        <f t="shared" ca="1" si="109"/>
        <v/>
      </c>
      <c r="Z253" s="315" t="str">
        <f t="shared" ca="1" si="110"/>
        <v/>
      </c>
      <c r="AA253" s="316" t="str">
        <f t="shared" ca="1" si="111"/>
        <v/>
      </c>
      <c r="AC253" s="310" t="e">
        <f t="shared" ca="1" si="112"/>
        <v>#N/A</v>
      </c>
      <c r="AD253" s="323" t="e">
        <f t="shared" ca="1" si="113"/>
        <v>#N/A</v>
      </c>
      <c r="AE253" s="324">
        <f t="shared" ca="1" si="92"/>
        <v>218.85839367953412</v>
      </c>
      <c r="AG253" s="306">
        <f t="shared" ca="1" si="114"/>
        <v>51.684166541865338</v>
      </c>
      <c r="AH253" s="304">
        <f t="shared" ca="1" si="115"/>
        <v>61.431007495132498</v>
      </c>
    </row>
    <row r="254" spans="1:34" x14ac:dyDescent="0.25">
      <c r="A254" s="347">
        <f t="shared" ca="1" si="93"/>
        <v>0.01</v>
      </c>
      <c r="B254" s="304">
        <f t="shared" ca="1" si="94"/>
        <v>2.4999999999999907</v>
      </c>
      <c r="D254" s="306">
        <f t="shared" ca="1" si="95"/>
        <v>6.9372031247800283</v>
      </c>
      <c r="E254" s="307">
        <f t="shared" ca="1" si="96"/>
        <v>50.993191066988359</v>
      </c>
      <c r="F254" s="304">
        <f t="shared" ca="1" si="97"/>
        <v>51.462902389865647</v>
      </c>
      <c r="G254" s="306">
        <f t="shared" ca="1" si="98"/>
        <v>19.142146622239025</v>
      </c>
      <c r="H254" s="307">
        <f t="shared" ca="1" si="99"/>
        <v>167.67896772730697</v>
      </c>
      <c r="I254" s="304">
        <f t="shared" ca="1" si="100"/>
        <v>168.76805976073359</v>
      </c>
      <c r="J254" s="306">
        <f t="shared" ca="1" si="101"/>
        <v>23.543439329400886</v>
      </c>
      <c r="K254" s="307">
        <f t="shared" ca="1" si="102"/>
        <v>220.53263369725383</v>
      </c>
      <c r="L254" s="304">
        <f t="shared" ca="1" si="87"/>
        <v>221.78578868111526</v>
      </c>
      <c r="M254" s="306">
        <f t="shared" ca="1" si="103"/>
        <v>1.4571289113594561</v>
      </c>
      <c r="N254" s="304">
        <f t="shared" ca="1" si="104"/>
        <v>83.487336827389072</v>
      </c>
      <c r="P254" s="310">
        <f t="shared" ca="1" si="105"/>
        <v>9</v>
      </c>
      <c r="Q254" s="304">
        <f t="shared" ca="1" si="106"/>
        <v>832.17500000000189</v>
      </c>
      <c r="R254" s="306">
        <f t="shared" ca="1" si="107"/>
        <v>0.41686330419786954</v>
      </c>
      <c r="S254" s="307">
        <f t="shared" ca="1" si="108"/>
        <v>11.293992210476599</v>
      </c>
      <c r="T254" s="304">
        <f t="shared" ca="1" si="88"/>
        <v>110.79406358477544</v>
      </c>
      <c r="U254" s="311">
        <f t="shared" ca="1" si="89"/>
        <v>0</v>
      </c>
      <c r="V254" s="306">
        <f t="shared" ca="1" si="90"/>
        <v>1.1982793906893501</v>
      </c>
      <c r="W254" s="304">
        <f t="shared" ca="1" si="91"/>
        <v>141.84913454461707</v>
      </c>
      <c r="Y254" s="314" t="str">
        <f t="shared" ca="1" si="109"/>
        <v/>
      </c>
      <c r="Z254" s="315" t="str">
        <f t="shared" ca="1" si="110"/>
        <v/>
      </c>
      <c r="AA254" s="316" t="str">
        <f t="shared" ca="1" si="111"/>
        <v/>
      </c>
      <c r="AC254" s="310" t="e">
        <f t="shared" ca="1" si="112"/>
        <v>#N/A</v>
      </c>
      <c r="AD254" s="323" t="e">
        <f t="shared" ca="1" si="113"/>
        <v>#N/A</v>
      </c>
      <c r="AE254" s="324">
        <f t="shared" ca="1" si="92"/>
        <v>220.53263369725383</v>
      </c>
      <c r="AG254" s="306">
        <f t="shared" ca="1" si="114"/>
        <v>51.450886284572633</v>
      </c>
      <c r="AH254" s="304">
        <f t="shared" ca="1" si="115"/>
        <v>61.197653804072843</v>
      </c>
    </row>
    <row r="255" spans="1:34" x14ac:dyDescent="0.25">
      <c r="A255" s="347">
        <f t="shared" ca="1" si="93"/>
        <v>0.01</v>
      </c>
      <c r="B255" s="304">
        <f t="shared" ca="1" si="94"/>
        <v>2.5099999999999905</v>
      </c>
      <c r="D255" s="306">
        <f t="shared" ca="1" si="95"/>
        <v>6.914732305656389</v>
      </c>
      <c r="E255" s="307">
        <f t="shared" ca="1" si="96"/>
        <v>50.760802115583473</v>
      </c>
      <c r="F255" s="304">
        <f t="shared" ca="1" si="97"/>
        <v>51.229606228003661</v>
      </c>
      <c r="G255" s="306">
        <f t="shared" ca="1" si="98"/>
        <v>19.211293945295591</v>
      </c>
      <c r="H255" s="307">
        <f t="shared" ca="1" si="99"/>
        <v>168.18657574846281</v>
      </c>
      <c r="I255" s="304">
        <f t="shared" ca="1" si="100"/>
        <v>169.28023534082757</v>
      </c>
      <c r="J255" s="306">
        <f t="shared" ca="1" si="101"/>
        <v>23.735206532238561</v>
      </c>
      <c r="K255" s="307">
        <f t="shared" ca="1" si="102"/>
        <v>222.21196141463267</v>
      </c>
      <c r="L255" s="304">
        <f t="shared" ca="1" si="87"/>
        <v>223.47598489516994</v>
      </c>
      <c r="M255" s="306">
        <f t="shared" ca="1" si="103"/>
        <v>1.4570631814348016</v>
      </c>
      <c r="N255" s="304">
        <f t="shared" ca="1" si="104"/>
        <v>83.483570780118654</v>
      </c>
      <c r="P255" s="310">
        <f t="shared" ca="1" si="105"/>
        <v>9</v>
      </c>
      <c r="Q255" s="304">
        <f t="shared" ca="1" si="106"/>
        <v>830.12500000000193</v>
      </c>
      <c r="R255" s="306">
        <f t="shared" ca="1" si="107"/>
        <v>0.41583639306306541</v>
      </c>
      <c r="S255" s="307">
        <f t="shared" ca="1" si="108"/>
        <v>11.289833846545969</v>
      </c>
      <c r="T255" s="304">
        <f t="shared" ca="1" si="88"/>
        <v>110.75327003461597</v>
      </c>
      <c r="U255" s="311">
        <f t="shared" ca="1" si="89"/>
        <v>0</v>
      </c>
      <c r="V255" s="306">
        <f t="shared" ca="1" si="90"/>
        <v>1.1980781525530126</v>
      </c>
      <c r="W255" s="304">
        <f t="shared" ca="1" si="91"/>
        <v>142.68743872500525</v>
      </c>
      <c r="Y255" s="314" t="str">
        <f t="shared" ca="1" si="109"/>
        <v/>
      </c>
      <c r="Z255" s="315" t="str">
        <f t="shared" ca="1" si="110"/>
        <v/>
      </c>
      <c r="AA255" s="316" t="str">
        <f t="shared" ca="1" si="111"/>
        <v/>
      </c>
      <c r="AC255" s="310" t="e">
        <f t="shared" ca="1" si="112"/>
        <v>#N/A</v>
      </c>
      <c r="AD255" s="323" t="e">
        <f t="shared" ca="1" si="113"/>
        <v>#N/A</v>
      </c>
      <c r="AE255" s="324">
        <f t="shared" ca="1" si="92"/>
        <v>222.21196141463267</v>
      </c>
      <c r="AG255" s="306">
        <f t="shared" ca="1" si="114"/>
        <v>51.217521441285612</v>
      </c>
      <c r="AH255" s="304">
        <f t="shared" ca="1" si="115"/>
        <v>60.964215666110725</v>
      </c>
    </row>
    <row r="256" spans="1:34" x14ac:dyDescent="0.25">
      <c r="A256" s="347">
        <f t="shared" ca="1" si="93"/>
        <v>0.01</v>
      </c>
      <c r="B256" s="304">
        <f t="shared" ca="1" si="94"/>
        <v>2.5199999999999902</v>
      </c>
      <c r="D256" s="306">
        <f t="shared" ca="1" si="95"/>
        <v>6.892212007407764</v>
      </c>
      <c r="E256" s="307">
        <f t="shared" ca="1" si="96"/>
        <v>50.528337446666718</v>
      </c>
      <c r="F256" s="304">
        <f t="shared" ca="1" si="97"/>
        <v>50.996229973197799</v>
      </c>
      <c r="G256" s="306">
        <f t="shared" ca="1" si="98"/>
        <v>19.280216065369668</v>
      </c>
      <c r="H256" s="307">
        <f t="shared" ca="1" si="99"/>
        <v>168.69185912292949</v>
      </c>
      <c r="I256" s="304">
        <f t="shared" ca="1" si="100"/>
        <v>169.79007646466746</v>
      </c>
      <c r="J256" s="306">
        <f t="shared" ca="1" si="101"/>
        <v>23.927664082291887</v>
      </c>
      <c r="K256" s="307">
        <f t="shared" ca="1" si="102"/>
        <v>223.89635358898963</v>
      </c>
      <c r="L256" s="304">
        <f t="shared" ca="1" si="87"/>
        <v>225.17129092955184</v>
      </c>
      <c r="M256" s="306">
        <f t="shared" ca="1" si="103"/>
        <v>1.4569976111505014</v>
      </c>
      <c r="N256" s="304">
        <f t="shared" ca="1" si="104"/>
        <v>83.479813879566777</v>
      </c>
      <c r="P256" s="310">
        <f t="shared" ca="1" si="105"/>
        <v>9</v>
      </c>
      <c r="Q256" s="304">
        <f t="shared" ca="1" si="106"/>
        <v>828.07500000000198</v>
      </c>
      <c r="R256" s="306">
        <f t="shared" ca="1" si="107"/>
        <v>0.41480948192826128</v>
      </c>
      <c r="S256" s="307">
        <f t="shared" ca="1" si="108"/>
        <v>11.285685751726687</v>
      </c>
      <c r="T256" s="304">
        <f t="shared" ca="1" si="88"/>
        <v>110.7125772244388</v>
      </c>
      <c r="U256" s="311">
        <f t="shared" ca="1" si="89"/>
        <v>0</v>
      </c>
      <c r="V256" s="306">
        <f t="shared" ca="1" si="90"/>
        <v>1.197876341101517</v>
      </c>
      <c r="W256" s="304">
        <f t="shared" ca="1" si="91"/>
        <v>143.52404988960942</v>
      </c>
      <c r="Y256" s="314" t="str">
        <f t="shared" ca="1" si="109"/>
        <v/>
      </c>
      <c r="Z256" s="315" t="str">
        <f t="shared" ca="1" si="110"/>
        <v/>
      </c>
      <c r="AA256" s="316" t="str">
        <f t="shared" ca="1" si="111"/>
        <v/>
      </c>
      <c r="AC256" s="310" t="e">
        <f t="shared" ca="1" si="112"/>
        <v>#N/A</v>
      </c>
      <c r="AD256" s="323" t="e">
        <f t="shared" ca="1" si="113"/>
        <v>#N/A</v>
      </c>
      <c r="AE256" s="324">
        <f t="shared" ca="1" si="92"/>
        <v>223.89635358898963</v>
      </c>
      <c r="AG256" s="306">
        <f t="shared" ca="1" si="114"/>
        <v>50.984075883687957</v>
      </c>
      <c r="AH256" s="304">
        <f t="shared" ca="1" si="115"/>
        <v>60.730696951236112</v>
      </c>
    </row>
    <row r="257" spans="1:34" x14ac:dyDescent="0.25">
      <c r="A257" s="347">
        <f t="shared" ca="1" si="93"/>
        <v>0.01</v>
      </c>
      <c r="B257" s="304">
        <f t="shared" ca="1" si="94"/>
        <v>2.52999999999999</v>
      </c>
      <c r="D257" s="306">
        <f t="shared" ca="1" si="95"/>
        <v>6.8696428719299503</v>
      </c>
      <c r="E257" s="307">
        <f t="shared" ca="1" si="96"/>
        <v>50.295800871076693</v>
      </c>
      <c r="F257" s="304">
        <f t="shared" ca="1" si="97"/>
        <v>50.762777489523337</v>
      </c>
      <c r="G257" s="306">
        <f t="shared" ca="1" si="98"/>
        <v>19.348912494088967</v>
      </c>
      <c r="H257" s="307">
        <f t="shared" ca="1" si="99"/>
        <v>169.19481713164026</v>
      </c>
      <c r="I257" s="304">
        <f t="shared" ca="1" si="100"/>
        <v>170.29758236367627</v>
      </c>
      <c r="J257" s="306">
        <f t="shared" ca="1" si="101"/>
        <v>24.120809725089181</v>
      </c>
      <c r="K257" s="307">
        <f t="shared" ca="1" si="102"/>
        <v>225.58578697026246</v>
      </c>
      <c r="L257" s="304">
        <f t="shared" ca="1" si="87"/>
        <v>226.87168343534324</v>
      </c>
      <c r="M257" s="306">
        <f t="shared" ca="1" si="103"/>
        <v>1.4569321987453827</v>
      </c>
      <c r="N257" s="304">
        <f t="shared" ca="1" si="104"/>
        <v>83.476066024825684</v>
      </c>
      <c r="P257" s="310">
        <f t="shared" ca="1" si="105"/>
        <v>9</v>
      </c>
      <c r="Q257" s="304">
        <f t="shared" ca="1" si="106"/>
        <v>826.02500000000202</v>
      </c>
      <c r="R257" s="306">
        <f t="shared" ca="1" si="107"/>
        <v>0.41378257079345721</v>
      </c>
      <c r="S257" s="307">
        <f t="shared" ca="1" si="108"/>
        <v>11.281547926018753</v>
      </c>
      <c r="T257" s="304">
        <f t="shared" ca="1" si="88"/>
        <v>110.67198515424397</v>
      </c>
      <c r="U257" s="311">
        <f t="shared" ca="1" si="89"/>
        <v>0</v>
      </c>
      <c r="V257" s="306">
        <f t="shared" ca="1" si="90"/>
        <v>1.1976739594146542</v>
      </c>
      <c r="W257" s="304">
        <f t="shared" ca="1" si="91"/>
        <v>144.35893099883162</v>
      </c>
      <c r="Y257" s="314" t="str">
        <f t="shared" ca="1" si="109"/>
        <v/>
      </c>
      <c r="Z257" s="315" t="str">
        <f t="shared" ca="1" si="110"/>
        <v/>
      </c>
      <c r="AA257" s="316" t="str">
        <f t="shared" ca="1" si="111"/>
        <v/>
      </c>
      <c r="AC257" s="310" t="e">
        <f t="shared" ca="1" si="112"/>
        <v>#N/A</v>
      </c>
      <c r="AD257" s="323" t="e">
        <f t="shared" ca="1" si="113"/>
        <v>#N/A</v>
      </c>
      <c r="AE257" s="324">
        <f t="shared" ca="1" si="92"/>
        <v>225.58578697026246</v>
      </c>
      <c r="AG257" s="306">
        <f t="shared" ca="1" si="114"/>
        <v>50.750553467560664</v>
      </c>
      <c r="AH257" s="304">
        <f t="shared" ca="1" si="115"/>
        <v>60.497101513555023</v>
      </c>
    </row>
    <row r="258" spans="1:34" x14ac:dyDescent="0.25">
      <c r="A258" s="347">
        <f t="shared" ca="1" si="93"/>
        <v>0.01</v>
      </c>
      <c r="B258" s="304">
        <f t="shared" ca="1" si="94"/>
        <v>2.5399999999999898</v>
      </c>
      <c r="D258" s="306">
        <f t="shared" ca="1" si="95"/>
        <v>6.8470255374430993</v>
      </c>
      <c r="E258" s="307">
        <f t="shared" ca="1" si="96"/>
        <v>50.063196183882027</v>
      </c>
      <c r="F258" s="304">
        <f t="shared" ca="1" si="97"/>
        <v>50.529252625150292</v>
      </c>
      <c r="G258" s="306">
        <f t="shared" ca="1" si="98"/>
        <v>19.4173827494634</v>
      </c>
      <c r="H258" s="307">
        <f t="shared" ca="1" si="99"/>
        <v>169.69544909347908</v>
      </c>
      <c r="I258" s="304">
        <f t="shared" ca="1" si="100"/>
        <v>170.80275230767421</v>
      </c>
      <c r="J258" s="306">
        <f t="shared" ca="1" si="101"/>
        <v>24.314641201306944</v>
      </c>
      <c r="K258" s="307">
        <f t="shared" ca="1" si="102"/>
        <v>227.28023830138807</v>
      </c>
      <c r="L258" s="304">
        <f t="shared" ca="1" si="87"/>
        <v>228.57713905612704</v>
      </c>
      <c r="M258" s="306">
        <f t="shared" ca="1" si="103"/>
        <v>1.4568669424791614</v>
      </c>
      <c r="N258" s="304">
        <f t="shared" ca="1" si="104"/>
        <v>83.472327116184417</v>
      </c>
      <c r="P258" s="310">
        <f t="shared" ca="1" si="105"/>
        <v>9</v>
      </c>
      <c r="Q258" s="304">
        <f t="shared" ca="1" si="106"/>
        <v>823.97500000000207</v>
      </c>
      <c r="R258" s="306">
        <f t="shared" ca="1" si="107"/>
        <v>0.41275565965865307</v>
      </c>
      <c r="S258" s="307">
        <f t="shared" ca="1" si="108"/>
        <v>11.277420369422167</v>
      </c>
      <c r="T258" s="304">
        <f t="shared" ca="1" si="88"/>
        <v>110.63149382403147</v>
      </c>
      <c r="U258" s="311">
        <f t="shared" ca="1" si="89"/>
        <v>0</v>
      </c>
      <c r="V258" s="306">
        <f t="shared" ca="1" si="90"/>
        <v>1.1974710105719502</v>
      </c>
      <c r="W258" s="304">
        <f t="shared" ca="1" si="91"/>
        <v>145.19204526322937</v>
      </c>
      <c r="Y258" s="314" t="str">
        <f t="shared" ca="1" si="109"/>
        <v/>
      </c>
      <c r="Z258" s="315" t="str">
        <f t="shared" ca="1" si="110"/>
        <v/>
      </c>
      <c r="AA258" s="316" t="str">
        <f t="shared" ca="1" si="111"/>
        <v/>
      </c>
      <c r="AC258" s="310" t="e">
        <f t="shared" ca="1" si="112"/>
        <v>#N/A</v>
      </c>
      <c r="AD258" s="323" t="e">
        <f t="shared" ca="1" si="113"/>
        <v>#N/A</v>
      </c>
      <c r="AE258" s="324">
        <f t="shared" ca="1" si="92"/>
        <v>227.28023830138807</v>
      </c>
      <c r="AG258" s="306">
        <f t="shared" ca="1" si="114"/>
        <v>50.516958032641426</v>
      </c>
      <c r="AH258" s="304">
        <f t="shared" ca="1" si="115"/>
        <v>60.263433191148543</v>
      </c>
    </row>
    <row r="259" spans="1:34" x14ac:dyDescent="0.25">
      <c r="A259" s="347">
        <f t="shared" ca="1" si="93"/>
        <v>0.01</v>
      </c>
      <c r="B259" s="304">
        <f t="shared" ca="1" si="94"/>
        <v>2.5499999999999896</v>
      </c>
      <c r="D259" s="306">
        <f t="shared" ca="1" si="95"/>
        <v>6.8243606385100897</v>
      </c>
      <c r="E259" s="307">
        <f t="shared" ca="1" si="96"/>
        <v>49.830527164240692</v>
      </c>
      <c r="F259" s="304">
        <f t="shared" ca="1" si="97"/>
        <v>50.295659212208115</v>
      </c>
      <c r="G259" s="306">
        <f t="shared" ca="1" si="98"/>
        <v>19.485626355848499</v>
      </c>
      <c r="H259" s="307">
        <f t="shared" ca="1" si="99"/>
        <v>170.19375436512149</v>
      </c>
      <c r="I259" s="304">
        <f t="shared" ca="1" si="100"/>
        <v>171.30558560471707</v>
      </c>
      <c r="J259" s="306">
        <f t="shared" ca="1" si="101"/>
        <v>24.509156246833506</v>
      </c>
      <c r="K259" s="307">
        <f t="shared" ca="1" si="102"/>
        <v>228.97968431868108</v>
      </c>
      <c r="L259" s="304">
        <f t="shared" ca="1" si="87"/>
        <v>230.28763442836993</v>
      </c>
      <c r="M259" s="306">
        <f t="shared" ca="1" si="103"/>
        <v>1.4568018406320817</v>
      </c>
      <c r="N259" s="304">
        <f t="shared" ca="1" si="104"/>
        <v>83.468597055108248</v>
      </c>
      <c r="P259" s="310">
        <f t="shared" ca="1" si="105"/>
        <v>9</v>
      </c>
      <c r="Q259" s="304">
        <f t="shared" ca="1" si="106"/>
        <v>821.92500000000211</v>
      </c>
      <c r="R259" s="306">
        <f t="shared" ca="1" si="107"/>
        <v>0.41172874852384894</v>
      </c>
      <c r="S259" s="307">
        <f t="shared" ca="1" si="108"/>
        <v>11.273303081936929</v>
      </c>
      <c r="T259" s="304">
        <f t="shared" ca="1" si="88"/>
        <v>110.59110323380128</v>
      </c>
      <c r="U259" s="311">
        <f t="shared" ca="1" si="89"/>
        <v>0</v>
      </c>
      <c r="V259" s="306">
        <f t="shared" ca="1" si="90"/>
        <v>1.1972674976526054</v>
      </c>
      <c r="W259" s="304">
        <f t="shared" ca="1" si="91"/>
        <v>146.02335614432971</v>
      </c>
      <c r="Y259" s="314" t="str">
        <f t="shared" ca="1" si="109"/>
        <v/>
      </c>
      <c r="Z259" s="315" t="str">
        <f t="shared" ca="1" si="110"/>
        <v/>
      </c>
      <c r="AA259" s="316" t="str">
        <f t="shared" ca="1" si="111"/>
        <v/>
      </c>
      <c r="AC259" s="310" t="e">
        <f t="shared" ca="1" si="112"/>
        <v>#N/A</v>
      </c>
      <c r="AD259" s="323" t="e">
        <f t="shared" ca="1" si="113"/>
        <v>#N/A</v>
      </c>
      <c r="AE259" s="324">
        <f t="shared" ca="1" si="92"/>
        <v>228.97968431868108</v>
      </c>
      <c r="AG259" s="306">
        <f t="shared" ca="1" si="114"/>
        <v>50.283293402486173</v>
      </c>
      <c r="AH259" s="304">
        <f t="shared" ca="1" si="115"/>
        <v>60.029695805934061</v>
      </c>
    </row>
    <row r="260" spans="1:34" x14ac:dyDescent="0.25">
      <c r="A260" s="347">
        <f t="shared" ca="1" si="93"/>
        <v>0.01</v>
      </c>
      <c r="B260" s="304">
        <f t="shared" ca="1" si="94"/>
        <v>2.5599999999999894</v>
      </c>
      <c r="D260" s="306">
        <f t="shared" ca="1" si="95"/>
        <v>6.8016488060542875</v>
      </c>
      <c r="E260" s="307">
        <f t="shared" ca="1" si="96"/>
        <v>49.597797575261332</v>
      </c>
      <c r="F260" s="304">
        <f t="shared" ca="1" si="97"/>
        <v>50.062001066652329</v>
      </c>
      <c r="G260" s="306">
        <f t="shared" ca="1" si="98"/>
        <v>19.553642843909042</v>
      </c>
      <c r="H260" s="307">
        <f t="shared" ca="1" si="99"/>
        <v>170.68973234087412</v>
      </c>
      <c r="I260" s="304">
        <f t="shared" ca="1" si="100"/>
        <v>171.80608160093286</v>
      </c>
      <c r="J260" s="306">
        <f t="shared" ca="1" si="101"/>
        <v>24.704352592832294</v>
      </c>
      <c r="K260" s="307">
        <f t="shared" ca="1" si="102"/>
        <v>230.68410175221106</v>
      </c>
      <c r="L260" s="304">
        <f t="shared" ref="L260:L323" ca="1" si="116">SQRT(pos_x^2+pos_z^2)</f>
        <v>232.00314618180386</v>
      </c>
      <c r="M260" s="306">
        <f t="shared" ca="1" si="103"/>
        <v>1.4567368915045638</v>
      </c>
      <c r="N260" s="304">
        <f t="shared" ca="1" si="104"/>
        <v>83.464875744218418</v>
      </c>
      <c r="P260" s="310">
        <f t="shared" ca="1" si="105"/>
        <v>9</v>
      </c>
      <c r="Q260" s="304">
        <f t="shared" ca="1" si="106"/>
        <v>819.87500000000216</v>
      </c>
      <c r="R260" s="306">
        <f t="shared" ca="1" si="107"/>
        <v>0.41070183738904487</v>
      </c>
      <c r="S260" s="307">
        <f t="shared" ca="1" si="108"/>
        <v>11.269196063563038</v>
      </c>
      <c r="T260" s="304">
        <f t="shared" ref="T260:T323" ca="1" si="117">m*g</f>
        <v>110.55081338355342</v>
      </c>
      <c r="U260" s="311">
        <f t="shared" ref="U260:U323" ca="1" si="118">IF(pos_xz&lt;L_rampe,Poids*COS(Beta),0)</f>
        <v>0</v>
      </c>
      <c r="V260" s="306">
        <f t="shared" ref="V260:V323" ca="1" si="119">Rho_moyen*(20000-Alt_rampe-pos_z)/(20000+Alt_rampe+pos_z)</f>
        <v>1.1970634237354356</v>
      </c>
      <c r="W260" s="304">
        <f t="shared" ref="W260:W323" ca="1" si="120">1/2*Rho*Sref*Cx*vit_xz^2</f>
        <v>146.85282735541793</v>
      </c>
      <c r="Y260" s="314" t="str">
        <f t="shared" ca="1" si="109"/>
        <v/>
      </c>
      <c r="Z260" s="315" t="str">
        <f t="shared" ca="1" si="110"/>
        <v/>
      </c>
      <c r="AA260" s="316" t="str">
        <f t="shared" ca="1" si="111"/>
        <v/>
      </c>
      <c r="AC260" s="310" t="e">
        <f t="shared" ca="1" si="112"/>
        <v>#N/A</v>
      </c>
      <c r="AD260" s="323" t="e">
        <f t="shared" ca="1" si="113"/>
        <v>#N/A</v>
      </c>
      <c r="AE260" s="324">
        <f t="shared" ref="AE260:AE323" ca="1" si="121">IF(t&lt;T_para, pos_z, NA())</f>
        <v>230.68410175221106</v>
      </c>
      <c r="AG260" s="306">
        <f t="shared" ca="1" si="114"/>
        <v>50.049563384332721</v>
      </c>
      <c r="AH260" s="304">
        <f t="shared" ca="1" si="115"/>
        <v>59.795893163528596</v>
      </c>
    </row>
    <row r="261" spans="1:34" x14ac:dyDescent="0.25">
      <c r="A261" s="347">
        <f t="shared" ref="A261:A324" ca="1" si="122">IF(B260+0.01&lt;=T_ini+ROUNDUP(Temps_fin_propu,0), 0.01, IF(K260&gt;0, 0.1, 0.0001))</f>
        <v>0.01</v>
      </c>
      <c r="B261" s="304">
        <f t="shared" ref="B261:B324" ca="1" si="123">B260+pas</f>
        <v>2.5699999999999892</v>
      </c>
      <c r="D261" s="306">
        <f t="shared" ref="D261:D324" ca="1" si="124">IF(AND(L260&lt;L_rampe,Poussee&lt;Poids*SIN(M260)),0,(-W260+Poussee)/m*COS(M260)-U260/m*SIN(M260))</f>
        <v>6.7788906673767499</v>
      </c>
      <c r="E261" s="307">
        <f t="shared" ref="E261:E324" ca="1" si="125">IF(AND(L260&lt;L_rampe,Poussee&lt;Poids*SIN(M260)),0,(-W260+Poussee)/m*SIN(M260)+U260/m*COS(M260)-Poids/m)</f>
        <v>49.36501116386701</v>
      </c>
      <c r="F261" s="304">
        <f t="shared" ref="F261:F324" ca="1" si="126">SQRT(acc_x^2+acc_z^2)</f>
        <v>49.828281988133632</v>
      </c>
      <c r="G261" s="306">
        <f t="shared" ref="G261:G324" ca="1" si="127">G260+acc_x*pas</f>
        <v>19.621431750582811</v>
      </c>
      <c r="H261" s="307">
        <f t="shared" ref="H261:H324" ca="1" si="128">H260+acc_z*pas</f>
        <v>171.18338245251277</v>
      </c>
      <c r="I261" s="304">
        <f t="shared" ref="I261:I324" ca="1" si="129">SQRT(vit_x^2+vit_z^2)</f>
        <v>172.30423968035737</v>
      </c>
      <c r="J261" s="306">
        <f t="shared" ref="J261:J324" ca="1" si="130">J260+0.5*(vit_x+G260)*pas*(K260&gt;=0)</f>
        <v>24.900227965804753</v>
      </c>
      <c r="K261" s="307">
        <f t="shared" ref="K261:K324" ca="1" si="131">K260+0.5*(vit_z+H260)*pas</f>
        <v>232.39346732617798</v>
      </c>
      <c r="L261" s="304">
        <f t="shared" ca="1" si="116"/>
        <v>233.72365093980628</v>
      </c>
      <c r="M261" s="306">
        <f t="shared" ref="M261:M324" ca="1" si="132">IF(AND(L260&gt;L_rampe,G261&gt;0),ATAN2(G261,H261),$M$4)</f>
        <v>1.4566720934168584</v>
      </c>
      <c r="N261" s="304">
        <f t="shared" ref="N261:N324" ca="1" si="133">DEGREES(Beta)</f>
        <v>83.461163087272382</v>
      </c>
      <c r="P261" s="310">
        <f t="shared" ref="P261:P324" ca="1" si="134">MATCH(t-pas/2-T_ini,CdP_t)</f>
        <v>9</v>
      </c>
      <c r="Q261" s="304">
        <f t="shared" ref="Q261:Q324" ca="1" si="135">(INDEX(CdP,2,i_P+1)-INDEX(CdP,2,i_P+0))/(INDEX(CdP,1,i_P+1)-INDEX(CdP,1,i_P+0))*(t-pas/2-T_ini-INDEX(CdP,1,i_P+0))+INDEX(CdP,2,i_P+0)</f>
        <v>817.82500000000221</v>
      </c>
      <c r="R261" s="306">
        <f t="shared" ref="R261:R324" ca="1" si="136">Poussee/(g*ISP)</f>
        <v>0.40967492625424073</v>
      </c>
      <c r="S261" s="307">
        <f t="shared" ref="S261:S324" ca="1" si="137">S260-Débit*pas</f>
        <v>11.265099314300496</v>
      </c>
      <c r="T261" s="304">
        <f t="shared" ca="1" si="117"/>
        <v>110.51062427328787</v>
      </c>
      <c r="U261" s="311">
        <f t="shared" ca="1" si="118"/>
        <v>0</v>
      </c>
      <c r="V261" s="306">
        <f t="shared" ca="1" si="119"/>
        <v>1.1968587918988123</v>
      </c>
      <c r="W261" s="304">
        <f t="shared" ca="1" si="120"/>
        <v>147.6804228623017</v>
      </c>
      <c r="Y261" s="314" t="str">
        <f t="shared" ref="Y261:Y324" ca="1" si="138">IF(AND(pos_z&lt;=0,K260&gt;0),"Impact balistique","") &amp; IF(AND(H262&lt;0,vit_z&gt;=0),"Apogée","") &amp; IF(AND(Poussee=0,Q260&gt;0),"Fin de propulsion","") &amp; IF(AND(L262&gt;L_rampe,pos_xz&lt;=L_rampe),"Sortie de rampe","")</f>
        <v/>
      </c>
      <c r="Z261" s="315" t="str">
        <f t="shared" ref="Z261:Z324" ca="1" si="139">IF(ABS(t-T_para)&lt;pas/2,"Para","")</f>
        <v/>
      </c>
      <c r="AA261" s="316" t="str">
        <f t="shared" ref="AA261:AA324" ca="1" si="140">IF(ABS(t-T_satellite)&lt;pas/2,"Satellite","")</f>
        <v/>
      </c>
      <c r="AC261" s="310" t="e">
        <f t="shared" ref="AC261:AC324" ca="1" si="141">IF(ABS(t-ROUND(t,0))&lt;0.001,t,NA())</f>
        <v>#N/A</v>
      </c>
      <c r="AD261" s="323" t="e">
        <f t="shared" ref="AD261:AD324" ca="1" si="142">IF(ABS(t-ROUND(t,0))&lt;0.001,pos_x,NA())</f>
        <v>#N/A</v>
      </c>
      <c r="AE261" s="324">
        <f t="shared" ca="1" si="121"/>
        <v>232.39346732617798</v>
      </c>
      <c r="AG261" s="306">
        <f t="shared" ref="AG261:AG324" ca="1" si="143">IF(AND(L260&lt;L_rampe,Poussee&lt;Poids*SIN(M260)),0,(-W260+Poussee)/m-Poids*SIN(M260)/m)</f>
        <v>49.815771768966556</v>
      </c>
      <c r="AH261" s="304">
        <f t="shared" ref="AH261:AH324" ca="1" si="144">IF(AND(L260&lt;L_rampe,Poussee&lt;Poids*SIN(M260)), g*SIN(M260), (-W260+Poussee)/m)</f>
        <v>59.562029053114308</v>
      </c>
    </row>
    <row r="262" spans="1:34" x14ac:dyDescent="0.25">
      <c r="A262" s="347">
        <f t="shared" ca="1" si="122"/>
        <v>0.01</v>
      </c>
      <c r="B262" s="304">
        <f t="shared" ca="1" si="123"/>
        <v>2.579999999999989</v>
      </c>
      <c r="D262" s="306">
        <f t="shared" ca="1" si="124"/>
        <v>6.7560868461728338</v>
      </c>
      <c r="E262" s="307">
        <f t="shared" ca="1" si="125"/>
        <v>49.132171660660994</v>
      </c>
      <c r="F262" s="304">
        <f t="shared" ca="1" si="126"/>
        <v>49.594505759869094</v>
      </c>
      <c r="G262" s="306">
        <f t="shared" ca="1" si="127"/>
        <v>19.688992619044541</v>
      </c>
      <c r="H262" s="307">
        <f t="shared" ca="1" si="128"/>
        <v>171.67470416911939</v>
      </c>
      <c r="I262" s="304">
        <f t="shared" ca="1" si="129"/>
        <v>172.80005926476835</v>
      </c>
      <c r="J262" s="306">
        <f t="shared" ca="1" si="130"/>
        <v>25.096780087652888</v>
      </c>
      <c r="K262" s="307">
        <f t="shared" ca="1" si="131"/>
        <v>234.10775775928613</v>
      </c>
      <c r="L262" s="304">
        <f t="shared" ca="1" si="116"/>
        <v>235.44912531977818</v>
      </c>
      <c r="M262" s="306">
        <f t="shared" ca="1" si="132"/>
        <v>1.4566074447087083</v>
      </c>
      <c r="N262" s="304">
        <f t="shared" ca="1" si="133"/>
        <v>83.457458989144399</v>
      </c>
      <c r="P262" s="310">
        <f t="shared" ca="1" si="134"/>
        <v>9</v>
      </c>
      <c r="Q262" s="304">
        <f t="shared" ca="1" si="135"/>
        <v>815.77500000000225</v>
      </c>
      <c r="R262" s="306">
        <f t="shared" ca="1" si="136"/>
        <v>0.4086480151194366</v>
      </c>
      <c r="S262" s="307">
        <f t="shared" ca="1" si="137"/>
        <v>11.261012834149302</v>
      </c>
      <c r="T262" s="304">
        <f t="shared" ca="1" si="117"/>
        <v>110.47053590300466</v>
      </c>
      <c r="U262" s="311">
        <f t="shared" ca="1" si="118"/>
        <v>0</v>
      </c>
      <c r="V262" s="306">
        <f t="shared" ca="1" si="119"/>
        <v>1.1966536052206056</v>
      </c>
      <c r="W262" s="304">
        <f t="shared" ca="1" si="120"/>
        <v>148.50610688405035</v>
      </c>
      <c r="Y262" s="314" t="str">
        <f t="shared" ca="1" si="138"/>
        <v/>
      </c>
      <c r="Z262" s="315" t="str">
        <f t="shared" ca="1" si="139"/>
        <v/>
      </c>
      <c r="AA262" s="316" t="str">
        <f t="shared" ca="1" si="140"/>
        <v/>
      </c>
      <c r="AC262" s="310" t="e">
        <f t="shared" ca="1" si="141"/>
        <v>#N/A</v>
      </c>
      <c r="AD262" s="323" t="e">
        <f t="shared" ca="1" si="142"/>
        <v>#N/A</v>
      </c>
      <c r="AE262" s="324">
        <f t="shared" ca="1" si="121"/>
        <v>234.10775775928613</v>
      </c>
      <c r="AG262" s="306">
        <f t="shared" ca="1" si="143"/>
        <v>49.581922330588775</v>
      </c>
      <c r="AH262" s="304">
        <f t="shared" ca="1" si="144"/>
        <v>59.328107247306129</v>
      </c>
    </row>
    <row r="263" spans="1:34" x14ac:dyDescent="0.25">
      <c r="A263" s="347">
        <f t="shared" ca="1" si="122"/>
        <v>0.01</v>
      </c>
      <c r="B263" s="304">
        <f t="shared" ca="1" si="123"/>
        <v>2.5899999999999888</v>
      </c>
      <c r="D263" s="306">
        <f t="shared" ca="1" si="124"/>
        <v>6.7332379625483885</v>
      </c>
      <c r="E263" s="307">
        <f t="shared" ca="1" si="125"/>
        <v>48.899282779794774</v>
      </c>
      <c r="F263" s="304">
        <f t="shared" ca="1" si="126"/>
        <v>49.360676148515594</v>
      </c>
      <c r="G263" s="306">
        <f t="shared" ca="1" si="127"/>
        <v>19.756324998670024</v>
      </c>
      <c r="H263" s="307">
        <f t="shared" ca="1" si="128"/>
        <v>172.16369699691734</v>
      </c>
      <c r="I263" s="304">
        <f t="shared" ca="1" si="129"/>
        <v>173.29353981351827</v>
      </c>
      <c r="J263" s="306">
        <f t="shared" ca="1" si="130"/>
        <v>25.294006675741461</v>
      </c>
      <c r="K263" s="307">
        <f t="shared" ca="1" si="131"/>
        <v>235.82694976511632</v>
      </c>
      <c r="L263" s="304">
        <f t="shared" ca="1" si="116"/>
        <v>237.1795459335209</v>
      </c>
      <c r="M263" s="306">
        <f t="shared" ca="1" si="132"/>
        <v>1.4565429437390185</v>
      </c>
      <c r="N263" s="304">
        <f t="shared" ca="1" si="133"/>
        <v>83.453763355806672</v>
      </c>
      <c r="P263" s="310">
        <f t="shared" ca="1" si="134"/>
        <v>9</v>
      </c>
      <c r="Q263" s="304">
        <f t="shared" ca="1" si="135"/>
        <v>813.7250000000023</v>
      </c>
      <c r="R263" s="306">
        <f t="shared" ca="1" si="136"/>
        <v>0.40762110398463253</v>
      </c>
      <c r="S263" s="307">
        <f t="shared" ca="1" si="137"/>
        <v>11.256936623109455</v>
      </c>
      <c r="T263" s="304">
        <f t="shared" ca="1" si="117"/>
        <v>110.43054827270376</v>
      </c>
      <c r="U263" s="311">
        <f t="shared" ca="1" si="118"/>
        <v>0</v>
      </c>
      <c r="V263" s="306">
        <f t="shared" ca="1" si="119"/>
        <v>1.1964478667781233</v>
      </c>
      <c r="W263" s="304">
        <f t="shared" ca="1" si="120"/>
        <v>149.3298438937093</v>
      </c>
      <c r="Y263" s="314" t="str">
        <f t="shared" ca="1" si="138"/>
        <v/>
      </c>
      <c r="Z263" s="315" t="str">
        <f t="shared" ca="1" si="139"/>
        <v/>
      </c>
      <c r="AA263" s="316" t="str">
        <f t="shared" ca="1" si="140"/>
        <v/>
      </c>
      <c r="AC263" s="310" t="e">
        <f t="shared" ca="1" si="141"/>
        <v>#N/A</v>
      </c>
      <c r="AD263" s="323" t="e">
        <f t="shared" ca="1" si="142"/>
        <v>#N/A</v>
      </c>
      <c r="AE263" s="324">
        <f t="shared" ca="1" si="121"/>
        <v>235.82694976511632</v>
      </c>
      <c r="AG263" s="306">
        <f t="shared" ca="1" si="143"/>
        <v>49.348018826686129</v>
      </c>
      <c r="AH263" s="304">
        <f t="shared" ca="1" si="144"/>
        <v>59.094131502021497</v>
      </c>
    </row>
    <row r="264" spans="1:34" x14ac:dyDescent="0.25">
      <c r="A264" s="347">
        <f t="shared" ca="1" si="122"/>
        <v>0.01</v>
      </c>
      <c r="B264" s="304">
        <f t="shared" ca="1" si="123"/>
        <v>2.5999999999999885</v>
      </c>
      <c r="D264" s="306">
        <f t="shared" ca="1" si="124"/>
        <v>6.7103446330352288</v>
      </c>
      <c r="E264" s="307">
        <f t="shared" ca="1" si="125"/>
        <v>48.666348218838266</v>
      </c>
      <c r="F264" s="304">
        <f t="shared" ca="1" si="126"/>
        <v>49.126796904045428</v>
      </c>
      <c r="G264" s="306">
        <f t="shared" ca="1" si="127"/>
        <v>19.823428445000378</v>
      </c>
      <c r="H264" s="307">
        <f t="shared" ca="1" si="128"/>
        <v>172.65036047910573</v>
      </c>
      <c r="I264" s="304">
        <f t="shared" ca="1" si="129"/>
        <v>173.78468082336602</v>
      </c>
      <c r="J264" s="306">
        <f t="shared" ca="1" si="130"/>
        <v>25.491905442959812</v>
      </c>
      <c r="K264" s="307">
        <f t="shared" ca="1" si="131"/>
        <v>237.55102005249643</v>
      </c>
      <c r="L264" s="304">
        <f t="shared" ca="1" si="116"/>
        <v>238.91488938761091</v>
      </c>
      <c r="M264" s="306">
        <f t="shared" ca="1" si="132"/>
        <v>1.4564785888855303</v>
      </c>
      <c r="N264" s="304">
        <f t="shared" ca="1" si="133"/>
        <v>83.450076094310617</v>
      </c>
      <c r="P264" s="310">
        <f t="shared" ca="1" si="134"/>
        <v>9</v>
      </c>
      <c r="Q264" s="304">
        <f t="shared" ca="1" si="135"/>
        <v>811.67500000000234</v>
      </c>
      <c r="R264" s="306">
        <f t="shared" ca="1" si="136"/>
        <v>0.4065941928498284</v>
      </c>
      <c r="S264" s="307">
        <f t="shared" ca="1" si="137"/>
        <v>11.252870681180957</v>
      </c>
      <c r="T264" s="304">
        <f t="shared" ca="1" si="117"/>
        <v>110.39066138238519</v>
      </c>
      <c r="U264" s="311">
        <f t="shared" ca="1" si="118"/>
        <v>0</v>
      </c>
      <c r="V264" s="306">
        <f t="shared" ca="1" si="119"/>
        <v>1.1962415796480546</v>
      </c>
      <c r="W264" s="304">
        <f t="shared" ca="1" si="120"/>
        <v>150.15159861898996</v>
      </c>
      <c r="Y264" s="314" t="str">
        <f t="shared" ca="1" si="138"/>
        <v/>
      </c>
      <c r="Z264" s="315" t="str">
        <f t="shared" ca="1" si="139"/>
        <v/>
      </c>
      <c r="AA264" s="316" t="str">
        <f t="shared" ca="1" si="140"/>
        <v/>
      </c>
      <c r="AC264" s="310" t="e">
        <f t="shared" ca="1" si="141"/>
        <v>#N/A</v>
      </c>
      <c r="AD264" s="323" t="e">
        <f t="shared" ca="1" si="142"/>
        <v>#N/A</v>
      </c>
      <c r="AE264" s="324">
        <f t="shared" ca="1" si="121"/>
        <v>237.55102005249643</v>
      </c>
      <c r="AG264" s="306">
        <f t="shared" ca="1" si="143"/>
        <v>49.114064997903213</v>
      </c>
      <c r="AH264" s="304">
        <f t="shared" ca="1" si="144"/>
        <v>58.860105556352295</v>
      </c>
    </row>
    <row r="265" spans="1:34" x14ac:dyDescent="0.25">
      <c r="A265" s="347">
        <f t="shared" ca="1" si="122"/>
        <v>0.01</v>
      </c>
      <c r="B265" s="304">
        <f t="shared" ca="1" si="123"/>
        <v>2.6099999999999883</v>
      </c>
      <c r="D265" s="306">
        <f t="shared" ca="1" si="124"/>
        <v>6.687407470606388</v>
      </c>
      <c r="E265" s="307">
        <f t="shared" ca="1" si="125"/>
        <v>48.433371658652291</v>
      </c>
      <c r="F265" s="304">
        <f t="shared" ca="1" si="126"/>
        <v>48.892871759624278</v>
      </c>
      <c r="G265" s="306">
        <f t="shared" ca="1" si="127"/>
        <v>19.890302519706442</v>
      </c>
      <c r="H265" s="307">
        <f t="shared" ca="1" si="128"/>
        <v>173.13469419569225</v>
      </c>
      <c r="I265" s="304">
        <f t="shared" ca="1" si="129"/>
        <v>174.27348182830718</v>
      </c>
      <c r="J265" s="306">
        <f t="shared" ca="1" si="130"/>
        <v>25.690474097783348</v>
      </c>
      <c r="K265" s="307">
        <f t="shared" ca="1" si="131"/>
        <v>239.27994532587041</v>
      </c>
      <c r="L265" s="304">
        <f t="shared" ca="1" si="116"/>
        <v>240.65513228377327</v>
      </c>
      <c r="M265" s="306">
        <f t="shared" ca="1" si="132"/>
        <v>1.4564143785445054</v>
      </c>
      <c r="N265" s="304">
        <f t="shared" ca="1" si="133"/>
        <v>83.446397112768793</v>
      </c>
      <c r="P265" s="310">
        <f t="shared" ca="1" si="134"/>
        <v>9</v>
      </c>
      <c r="Q265" s="304">
        <f t="shared" ca="1" si="135"/>
        <v>809.62500000000239</v>
      </c>
      <c r="R265" s="306">
        <f t="shared" ca="1" si="136"/>
        <v>0.40556728171502426</v>
      </c>
      <c r="S265" s="307">
        <f t="shared" ca="1" si="137"/>
        <v>11.248815008363806</v>
      </c>
      <c r="T265" s="304">
        <f t="shared" ca="1" si="117"/>
        <v>110.35087523204895</v>
      </c>
      <c r="U265" s="311">
        <f t="shared" ca="1" si="118"/>
        <v>0</v>
      </c>
      <c r="V265" s="306">
        <f t="shared" ca="1" si="119"/>
        <v>1.1960347469064101</v>
      </c>
      <c r="W265" s="304">
        <f t="shared" ca="1" si="120"/>
        <v>150.97133604293546</v>
      </c>
      <c r="Y265" s="314" t="str">
        <f t="shared" ca="1" si="138"/>
        <v/>
      </c>
      <c r="Z265" s="315" t="str">
        <f t="shared" ca="1" si="139"/>
        <v/>
      </c>
      <c r="AA265" s="316" t="str">
        <f t="shared" ca="1" si="140"/>
        <v/>
      </c>
      <c r="AC265" s="310" t="e">
        <f t="shared" ca="1" si="141"/>
        <v>#N/A</v>
      </c>
      <c r="AD265" s="323" t="e">
        <f t="shared" ca="1" si="142"/>
        <v>#N/A</v>
      </c>
      <c r="AE265" s="324">
        <f t="shared" ca="1" si="121"/>
        <v>239.27994532587041</v>
      </c>
      <c r="AG265" s="306">
        <f t="shared" ca="1" si="143"/>
        <v>48.880064567916826</v>
      </c>
      <c r="AH265" s="304">
        <f t="shared" ca="1" si="144"/>
        <v>58.626033132438899</v>
      </c>
    </row>
    <row r="266" spans="1:34" x14ac:dyDescent="0.25">
      <c r="A266" s="347">
        <f t="shared" ca="1" si="122"/>
        <v>0.01</v>
      </c>
      <c r="B266" s="304">
        <f t="shared" ca="1" si="123"/>
        <v>2.6199999999999881</v>
      </c>
      <c r="D266" s="306">
        <f t="shared" ca="1" si="124"/>
        <v>6.6644270846906357</v>
      </c>
      <c r="E266" s="307">
        <f t="shared" ca="1" si="125"/>
        <v>48.200356763263073</v>
      </c>
      <c r="F266" s="304">
        <f t="shared" ca="1" si="126"/>
        <v>48.658904431491244</v>
      </c>
      <c r="G266" s="306">
        <f t="shared" ca="1" si="127"/>
        <v>19.956946790553349</v>
      </c>
      <c r="H266" s="307">
        <f t="shared" ca="1" si="128"/>
        <v>173.61669776332488</v>
      </c>
      <c r="I266" s="304">
        <f t="shared" ca="1" si="129"/>
        <v>174.75994239940306</v>
      </c>
      <c r="J266" s="306">
        <f t="shared" ca="1" si="130"/>
        <v>25.889710344334645</v>
      </c>
      <c r="K266" s="307">
        <f t="shared" ca="1" si="131"/>
        <v>241.01370228566549</v>
      </c>
      <c r="L266" s="304">
        <f t="shared" ca="1" si="116"/>
        <v>242.40025121925297</v>
      </c>
      <c r="M266" s="306">
        <f t="shared" ca="1" si="132"/>
        <v>1.4563503111304137</v>
      </c>
      <c r="N266" s="304">
        <f t="shared" ca="1" si="133"/>
        <v>83.44272632033703</v>
      </c>
      <c r="P266" s="310">
        <f t="shared" ca="1" si="134"/>
        <v>9</v>
      </c>
      <c r="Q266" s="304">
        <f t="shared" ca="1" si="135"/>
        <v>807.57500000000243</v>
      </c>
      <c r="R266" s="306">
        <f t="shared" ca="1" si="136"/>
        <v>0.40454037058022019</v>
      </c>
      <c r="S266" s="307">
        <f t="shared" ca="1" si="137"/>
        <v>11.244769604658003</v>
      </c>
      <c r="T266" s="304">
        <f t="shared" ca="1" si="117"/>
        <v>110.31118982169502</v>
      </c>
      <c r="U266" s="311">
        <f t="shared" ca="1" si="118"/>
        <v>0</v>
      </c>
      <c r="V266" s="306">
        <f t="shared" ca="1" si="119"/>
        <v>1.1958273716284673</v>
      </c>
      <c r="W266" s="304">
        <f t="shared" ca="1" si="120"/>
        <v>151.78902140456154</v>
      </c>
      <c r="Y266" s="314" t="str">
        <f t="shared" ca="1" si="138"/>
        <v/>
      </c>
      <c r="Z266" s="315" t="str">
        <f t="shared" ca="1" si="139"/>
        <v/>
      </c>
      <c r="AA266" s="316" t="str">
        <f t="shared" ca="1" si="140"/>
        <v/>
      </c>
      <c r="AC266" s="310" t="e">
        <f t="shared" ca="1" si="141"/>
        <v>#N/A</v>
      </c>
      <c r="AD266" s="323" t="e">
        <f t="shared" ca="1" si="142"/>
        <v>#N/A</v>
      </c>
      <c r="AE266" s="324">
        <f t="shared" ca="1" si="121"/>
        <v>241.01370228566549</v>
      </c>
      <c r="AG266" s="306">
        <f t="shared" ca="1" si="143"/>
        <v>48.646021243312354</v>
      </c>
      <c r="AH266" s="304">
        <f t="shared" ca="1" si="144"/>
        <v>58.391917935346328</v>
      </c>
    </row>
    <row r="267" spans="1:34" x14ac:dyDescent="0.25">
      <c r="A267" s="347">
        <f t="shared" ca="1" si="122"/>
        <v>0.01</v>
      </c>
      <c r="B267" s="304">
        <f t="shared" ca="1" si="123"/>
        <v>2.6299999999999879</v>
      </c>
      <c r="D267" s="306">
        <f t="shared" ca="1" si="124"/>
        <v>6.6414040811867343</v>
      </c>
      <c r="E267" s="307">
        <f t="shared" ca="1" si="125"/>
        <v>47.967307179739066</v>
      </c>
      <c r="F267" s="304">
        <f t="shared" ca="1" si="126"/>
        <v>48.424898618841226</v>
      </c>
      <c r="G267" s="306">
        <f t="shared" ca="1" si="127"/>
        <v>20.023360831365217</v>
      </c>
      <c r="H267" s="307">
        <f t="shared" ca="1" si="128"/>
        <v>174.09637083512226</v>
      </c>
      <c r="I267" s="304">
        <f t="shared" ca="1" si="129"/>
        <v>175.24406214460865</v>
      </c>
      <c r="J267" s="306">
        <f t="shared" ca="1" si="130"/>
        <v>26.089611882444238</v>
      </c>
      <c r="K267" s="307">
        <f t="shared" ca="1" si="131"/>
        <v>242.75226762865773</v>
      </c>
      <c r="L267" s="304">
        <f t="shared" ca="1" si="116"/>
        <v>244.15022278718496</v>
      </c>
      <c r="M267" s="306">
        <f t="shared" ca="1" si="132"/>
        <v>1.4562863850756294</v>
      </c>
      <c r="N267" s="304">
        <f t="shared" ca="1" si="133"/>
        <v>83.439063627196958</v>
      </c>
      <c r="P267" s="310">
        <f t="shared" ca="1" si="134"/>
        <v>9</v>
      </c>
      <c r="Q267" s="304">
        <f t="shared" ca="1" si="135"/>
        <v>805.52500000000248</v>
      </c>
      <c r="R267" s="306">
        <f t="shared" ca="1" si="136"/>
        <v>0.40351345944541606</v>
      </c>
      <c r="S267" s="307">
        <f t="shared" ca="1" si="137"/>
        <v>11.240734470063549</v>
      </c>
      <c r="T267" s="304">
        <f t="shared" ca="1" si="117"/>
        <v>110.27160515132341</v>
      </c>
      <c r="U267" s="311">
        <f t="shared" ca="1" si="118"/>
        <v>0</v>
      </c>
      <c r="V267" s="306">
        <f t="shared" ca="1" si="119"/>
        <v>1.1956194568887111</v>
      </c>
      <c r="W267" s="304">
        <f t="shared" ca="1" si="120"/>
        <v>152.60462019947354</v>
      </c>
      <c r="Y267" s="314" t="str">
        <f t="shared" ca="1" si="138"/>
        <v/>
      </c>
      <c r="Z267" s="315" t="str">
        <f t="shared" ca="1" si="139"/>
        <v/>
      </c>
      <c r="AA267" s="316" t="str">
        <f t="shared" ca="1" si="140"/>
        <v/>
      </c>
      <c r="AC267" s="310" t="e">
        <f t="shared" ca="1" si="141"/>
        <v>#N/A</v>
      </c>
      <c r="AD267" s="323" t="e">
        <f t="shared" ca="1" si="142"/>
        <v>#N/A</v>
      </c>
      <c r="AE267" s="324">
        <f t="shared" ca="1" si="121"/>
        <v>242.75226762865773</v>
      </c>
      <c r="AG267" s="306">
        <f t="shared" ca="1" si="143"/>
        <v>48.411938713462455</v>
      </c>
      <c r="AH267" s="304">
        <f t="shared" ca="1" si="144"/>
        <v>58.157763652942606</v>
      </c>
    </row>
    <row r="268" spans="1:34" x14ac:dyDescent="0.25">
      <c r="A268" s="347">
        <f t="shared" ca="1" si="122"/>
        <v>0.01</v>
      </c>
      <c r="B268" s="304">
        <f t="shared" ca="1" si="123"/>
        <v>2.6399999999999877</v>
      </c>
      <c r="D268" s="306">
        <f t="shared" ca="1" si="124"/>
        <v>6.6183390624771317</v>
      </c>
      <c r="E268" s="307">
        <f t="shared" ca="1" si="125"/>
        <v>47.734226538069869</v>
      </c>
      <c r="F268" s="304">
        <f t="shared" ca="1" si="126"/>
        <v>48.190858003709423</v>
      </c>
      <c r="G268" s="306">
        <f t="shared" ca="1" si="127"/>
        <v>20.089544221989989</v>
      </c>
      <c r="H268" s="307">
        <f t="shared" ca="1" si="128"/>
        <v>174.57371310050294</v>
      </c>
      <c r="I268" s="304">
        <f t="shared" ca="1" si="129"/>
        <v>175.72584070859926</v>
      </c>
      <c r="J268" s="306">
        <f t="shared" ca="1" si="130"/>
        <v>26.290176407711016</v>
      </c>
      <c r="K268" s="307">
        <f t="shared" ca="1" si="131"/>
        <v>244.49561804833587</v>
      </c>
      <c r="L268" s="304">
        <f t="shared" ca="1" si="116"/>
        <v>245.90502357696212</v>
      </c>
      <c r="M268" s="306">
        <f t="shared" ca="1" si="132"/>
        <v>1.4562225988301312</v>
      </c>
      <c r="N268" s="304">
        <f t="shared" ca="1" si="133"/>
        <v>83.435408944538921</v>
      </c>
      <c r="P268" s="310">
        <f t="shared" ca="1" si="134"/>
        <v>9</v>
      </c>
      <c r="Q268" s="304">
        <f t="shared" ca="1" si="135"/>
        <v>803.47500000000252</v>
      </c>
      <c r="R268" s="306">
        <f t="shared" ca="1" si="136"/>
        <v>0.40248654831061198</v>
      </c>
      <c r="S268" s="307">
        <f t="shared" ca="1" si="137"/>
        <v>11.236709604580442</v>
      </c>
      <c r="T268" s="304">
        <f t="shared" ca="1" si="117"/>
        <v>110.23212122093415</v>
      </c>
      <c r="U268" s="311">
        <f t="shared" ca="1" si="118"/>
        <v>0</v>
      </c>
      <c r="V268" s="306">
        <f t="shared" ca="1" si="119"/>
        <v>1.1954110057607765</v>
      </c>
      <c r="W268" s="304">
        <f t="shared" ca="1" si="120"/>
        <v>153.41809818045911</v>
      </c>
      <c r="Y268" s="314" t="str">
        <f t="shared" ca="1" si="138"/>
        <v/>
      </c>
      <c r="Z268" s="315" t="str">
        <f t="shared" ca="1" si="139"/>
        <v/>
      </c>
      <c r="AA268" s="316" t="str">
        <f t="shared" ca="1" si="140"/>
        <v/>
      </c>
      <c r="AC268" s="310" t="e">
        <f t="shared" ca="1" si="141"/>
        <v>#N/A</v>
      </c>
      <c r="AD268" s="323" t="e">
        <f t="shared" ca="1" si="142"/>
        <v>#N/A</v>
      </c>
      <c r="AE268" s="324">
        <f t="shared" ca="1" si="121"/>
        <v>244.49561804833587</v>
      </c>
      <c r="AG268" s="306">
        <f t="shared" ca="1" si="143"/>
        <v>48.177820650407632</v>
      </c>
      <c r="AH268" s="304">
        <f t="shared" ca="1" si="144"/>
        <v>57.92357395577914</v>
      </c>
    </row>
    <row r="269" spans="1:34" x14ac:dyDescent="0.25">
      <c r="A269" s="347">
        <f t="shared" ca="1" si="122"/>
        <v>0.01</v>
      </c>
      <c r="B269" s="304">
        <f t="shared" ca="1" si="123"/>
        <v>2.6499999999999875</v>
      </c>
      <c r="D269" s="306">
        <f t="shared" ca="1" si="124"/>
        <v>6.5952326274413471</v>
      </c>
      <c r="E269" s="307">
        <f t="shared" ca="1" si="125"/>
        <v>47.501118451047319</v>
      </c>
      <c r="F269" s="304">
        <f t="shared" ca="1" si="126"/>
        <v>47.95678625085813</v>
      </c>
      <c r="G269" s="306">
        <f t="shared" ca="1" si="127"/>
        <v>20.155496548264402</v>
      </c>
      <c r="H269" s="307">
        <f t="shared" ca="1" si="128"/>
        <v>175.04872428501341</v>
      </c>
      <c r="I269" s="304">
        <f t="shared" ca="1" si="129"/>
        <v>176.20527777259608</v>
      </c>
      <c r="J269" s="306">
        <f t="shared" ca="1" si="130"/>
        <v>26.491401611562289</v>
      </c>
      <c r="K269" s="307">
        <f t="shared" ca="1" si="131"/>
        <v>246.24373023526346</v>
      </c>
      <c r="L269" s="304">
        <f t="shared" ca="1" si="116"/>
        <v>247.66463017460183</v>
      </c>
      <c r="M269" s="306">
        <f t="shared" ca="1" si="132"/>
        <v>1.4561589508612121</v>
      </c>
      <c r="N269" s="304">
        <f t="shared" ca="1" si="133"/>
        <v>83.431762184545278</v>
      </c>
      <c r="P269" s="310">
        <f t="shared" ca="1" si="134"/>
        <v>9</v>
      </c>
      <c r="Q269" s="304">
        <f t="shared" ca="1" si="135"/>
        <v>801.42500000000257</v>
      </c>
      <c r="R269" s="306">
        <f t="shared" ca="1" si="136"/>
        <v>0.40145963717580785</v>
      </c>
      <c r="S269" s="307">
        <f t="shared" ca="1" si="137"/>
        <v>11.232695008208683</v>
      </c>
      <c r="T269" s="304">
        <f t="shared" ca="1" si="117"/>
        <v>110.19273803052718</v>
      </c>
      <c r="U269" s="311">
        <f t="shared" ca="1" si="118"/>
        <v>0</v>
      </c>
      <c r="V269" s="306">
        <f t="shared" ca="1" si="119"/>
        <v>1.1952020213173942</v>
      </c>
      <c r="W269" s="304">
        <f t="shared" ca="1" si="120"/>
        <v>154.22942135805698</v>
      </c>
      <c r="Y269" s="314" t="str">
        <f t="shared" ca="1" si="138"/>
        <v/>
      </c>
      <c r="Z269" s="315" t="str">
        <f t="shared" ca="1" si="139"/>
        <v/>
      </c>
      <c r="AA269" s="316" t="str">
        <f t="shared" ca="1" si="140"/>
        <v/>
      </c>
      <c r="AC269" s="310" t="e">
        <f t="shared" ca="1" si="141"/>
        <v>#N/A</v>
      </c>
      <c r="AD269" s="323" t="e">
        <f t="shared" ca="1" si="142"/>
        <v>#N/A</v>
      </c>
      <c r="AE269" s="324">
        <f t="shared" ca="1" si="121"/>
        <v>246.24373023526346</v>
      </c>
      <c r="AG269" s="306">
        <f t="shared" ca="1" si="143"/>
        <v>47.94367070873917</v>
      </c>
      <c r="AH269" s="304">
        <f t="shared" ca="1" si="144"/>
        <v>57.689352496973335</v>
      </c>
    </row>
    <row r="270" spans="1:34" x14ac:dyDescent="0.25">
      <c r="A270" s="347">
        <f t="shared" ca="1" si="122"/>
        <v>0.01</v>
      </c>
      <c r="B270" s="304">
        <f t="shared" ca="1" si="123"/>
        <v>2.6599999999999873</v>
      </c>
      <c r="D270" s="306">
        <f t="shared" ca="1" si="124"/>
        <v>6.5720853714687744</v>
      </c>
      <c r="E270" s="307">
        <f t="shared" ca="1" si="125"/>
        <v>47.267986514148816</v>
      </c>
      <c r="F270" s="304">
        <f t="shared" ca="1" si="126"/>
        <v>47.722687007665741</v>
      </c>
      <c r="G270" s="306">
        <f t="shared" ca="1" si="127"/>
        <v>20.221217401979089</v>
      </c>
      <c r="H270" s="307">
        <f t="shared" ca="1" si="128"/>
        <v>175.52140415015489</v>
      </c>
      <c r="I270" s="304">
        <f t="shared" ca="1" si="129"/>
        <v>176.68237305419041</v>
      </c>
      <c r="J270" s="306">
        <f t="shared" ca="1" si="130"/>
        <v>26.693285181313506</v>
      </c>
      <c r="K270" s="307">
        <f t="shared" ca="1" si="131"/>
        <v>247.9965808774393</v>
      </c>
      <c r="L270" s="304">
        <f t="shared" ca="1" si="116"/>
        <v>249.42901916311027</v>
      </c>
      <c r="M270" s="306">
        <f t="shared" ca="1" si="132"/>
        <v>1.45609543965319</v>
      </c>
      <c r="N270" s="304">
        <f t="shared" ca="1" si="133"/>
        <v>83.428123260373837</v>
      </c>
      <c r="P270" s="310">
        <f t="shared" ca="1" si="134"/>
        <v>9</v>
      </c>
      <c r="Q270" s="304">
        <f t="shared" ca="1" si="135"/>
        <v>799.37500000000261</v>
      </c>
      <c r="R270" s="306">
        <f t="shared" ca="1" si="136"/>
        <v>0.40043272604100372</v>
      </c>
      <c r="S270" s="307">
        <f t="shared" ca="1" si="137"/>
        <v>11.228690680948272</v>
      </c>
      <c r="T270" s="304">
        <f t="shared" ca="1" si="117"/>
        <v>110.15345558010256</v>
      </c>
      <c r="U270" s="311">
        <f t="shared" ca="1" si="118"/>
        <v>0</v>
      </c>
      <c r="V270" s="306">
        <f t="shared" ca="1" si="119"/>
        <v>1.1949925066303326</v>
      </c>
      <c r="W270" s="304">
        <f t="shared" ca="1" si="120"/>
        <v>155.03855600110188</v>
      </c>
      <c r="Y270" s="314" t="str">
        <f t="shared" ca="1" si="138"/>
        <v/>
      </c>
      <c r="Z270" s="315" t="str">
        <f t="shared" ca="1" si="139"/>
        <v/>
      </c>
      <c r="AA270" s="316" t="str">
        <f t="shared" ca="1" si="140"/>
        <v/>
      </c>
      <c r="AC270" s="310" t="e">
        <f t="shared" ca="1" si="141"/>
        <v>#N/A</v>
      </c>
      <c r="AD270" s="323" t="e">
        <f t="shared" ca="1" si="142"/>
        <v>#N/A</v>
      </c>
      <c r="AE270" s="324">
        <f t="shared" ca="1" si="121"/>
        <v>247.9965808774393</v>
      </c>
      <c r="AG270" s="306">
        <f t="shared" ca="1" si="143"/>
        <v>47.709492525484009</v>
      </c>
      <c r="AH270" s="304">
        <f t="shared" ca="1" si="144"/>
        <v>57.455102912093267</v>
      </c>
    </row>
    <row r="271" spans="1:34" x14ac:dyDescent="0.25">
      <c r="A271" s="347">
        <f t="shared" ca="1" si="122"/>
        <v>0.01</v>
      </c>
      <c r="B271" s="304">
        <f t="shared" ca="1" si="123"/>
        <v>2.6699999999999871</v>
      </c>
      <c r="D271" s="306">
        <f t="shared" ca="1" si="124"/>
        <v>6.5488978864713498</v>
      </c>
      <c r="E271" s="307">
        <f t="shared" ca="1" si="125"/>
        <v>47.034834305422741</v>
      </c>
      <c r="F271" s="304">
        <f t="shared" ca="1" si="126"/>
        <v>47.488563904018001</v>
      </c>
      <c r="G271" s="306">
        <f t="shared" ca="1" si="127"/>
        <v>20.286706380843803</v>
      </c>
      <c r="H271" s="307">
        <f t="shared" ca="1" si="128"/>
        <v>175.99175249320913</v>
      </c>
      <c r="I271" s="304">
        <f t="shared" ca="1" si="129"/>
        <v>177.15712630716709</v>
      </c>
      <c r="J271" s="306">
        <f t="shared" ca="1" si="130"/>
        <v>26.895824800227622</v>
      </c>
      <c r="K271" s="307">
        <f t="shared" ca="1" si="131"/>
        <v>249.75414666065612</v>
      </c>
      <c r="L271" s="304">
        <f t="shared" ca="1" si="116"/>
        <v>251.1981671228456</v>
      </c>
      <c r="M271" s="306">
        <f t="shared" ca="1" si="132"/>
        <v>1.4560320637071296</v>
      </c>
      <c r="N271" s="304">
        <f t="shared" ca="1" si="133"/>
        <v>83.424492086141925</v>
      </c>
      <c r="P271" s="310">
        <f t="shared" ca="1" si="134"/>
        <v>9</v>
      </c>
      <c r="Q271" s="304">
        <f t="shared" ca="1" si="135"/>
        <v>797.32500000000266</v>
      </c>
      <c r="R271" s="306">
        <f t="shared" ca="1" si="136"/>
        <v>0.39940581490619964</v>
      </c>
      <c r="S271" s="307">
        <f t="shared" ca="1" si="137"/>
        <v>11.224696622799211</v>
      </c>
      <c r="T271" s="304">
        <f t="shared" ca="1" si="117"/>
        <v>110.11427386966027</v>
      </c>
      <c r="U271" s="311">
        <f t="shared" ca="1" si="118"/>
        <v>0</v>
      </c>
      <c r="V271" s="306">
        <f t="shared" ca="1" si="119"/>
        <v>1.1947824647703433</v>
      </c>
      <c r="W271" s="304">
        <f t="shared" ca="1" si="120"/>
        <v>155.8454686372456</v>
      </c>
      <c r="Y271" s="314" t="str">
        <f t="shared" ca="1" si="138"/>
        <v/>
      </c>
      <c r="Z271" s="315" t="str">
        <f t="shared" ca="1" si="139"/>
        <v/>
      </c>
      <c r="AA271" s="316" t="str">
        <f t="shared" ca="1" si="140"/>
        <v/>
      </c>
      <c r="AC271" s="310" t="e">
        <f t="shared" ca="1" si="141"/>
        <v>#N/A</v>
      </c>
      <c r="AD271" s="323" t="e">
        <f t="shared" ca="1" si="142"/>
        <v>#N/A</v>
      </c>
      <c r="AE271" s="324">
        <f t="shared" ca="1" si="121"/>
        <v>249.75414666065612</v>
      </c>
      <c r="AG271" s="306">
        <f t="shared" ca="1" si="143"/>
        <v>47.475289719991864</v>
      </c>
      <c r="AH271" s="304">
        <f t="shared" ca="1" si="144"/>
        <v>57.220828819044513</v>
      </c>
    </row>
    <row r="272" spans="1:34" x14ac:dyDescent="0.25">
      <c r="A272" s="347">
        <f t="shared" ca="1" si="122"/>
        <v>0.01</v>
      </c>
      <c r="B272" s="304">
        <f t="shared" ca="1" si="123"/>
        <v>2.6799999999999868</v>
      </c>
      <c r="D272" s="306">
        <f t="shared" ca="1" si="124"/>
        <v>6.5256707608955624</v>
      </c>
      <c r="E272" s="307">
        <f t="shared" ca="1" si="125"/>
        <v>46.801665385376069</v>
      </c>
      <c r="F272" s="304">
        <f t="shared" ca="1" si="126"/>
        <v>47.254420552201417</v>
      </c>
      <c r="G272" s="306">
        <f t="shared" ca="1" si="127"/>
        <v>20.351963088452759</v>
      </c>
      <c r="H272" s="307">
        <f t="shared" ca="1" si="128"/>
        <v>176.4597691470629</v>
      </c>
      <c r="I272" s="304">
        <f t="shared" ca="1" si="129"/>
        <v>177.62953732132635</v>
      </c>
      <c r="J272" s="306">
        <f t="shared" ca="1" si="130"/>
        <v>27.099018147574103</v>
      </c>
      <c r="K272" s="307">
        <f t="shared" ca="1" si="131"/>
        <v>251.51640426885749</v>
      </c>
      <c r="L272" s="304">
        <f t="shared" ca="1" si="116"/>
        <v>252.97205063187889</v>
      </c>
      <c r="M272" s="306">
        <f t="shared" ca="1" si="132"/>
        <v>1.4559688215405648</v>
      </c>
      <c r="N272" s="304">
        <f t="shared" ca="1" si="133"/>
        <v>83.420868576910507</v>
      </c>
      <c r="P272" s="310">
        <f t="shared" ca="1" si="134"/>
        <v>9</v>
      </c>
      <c r="Q272" s="304">
        <f t="shared" ca="1" si="135"/>
        <v>795.27500000000271</v>
      </c>
      <c r="R272" s="306">
        <f t="shared" ca="1" si="136"/>
        <v>0.39837890377139551</v>
      </c>
      <c r="S272" s="307">
        <f t="shared" ca="1" si="137"/>
        <v>11.220712833761498</v>
      </c>
      <c r="T272" s="304">
        <f t="shared" ca="1" si="117"/>
        <v>110.0751928992003</v>
      </c>
      <c r="U272" s="311">
        <f t="shared" ca="1" si="118"/>
        <v>0</v>
      </c>
      <c r="V272" s="306">
        <f t="shared" ca="1" si="119"/>
        <v>1.1945718988071035</v>
      </c>
      <c r="W272" s="304">
        <f t="shared" ca="1" si="120"/>
        <v>156.65012605345393</v>
      </c>
      <c r="Y272" s="314" t="str">
        <f t="shared" ca="1" si="138"/>
        <v/>
      </c>
      <c r="Z272" s="315" t="str">
        <f t="shared" ca="1" si="139"/>
        <v/>
      </c>
      <c r="AA272" s="316" t="str">
        <f t="shared" ca="1" si="140"/>
        <v/>
      </c>
      <c r="AC272" s="310" t="e">
        <f t="shared" ca="1" si="141"/>
        <v>#N/A</v>
      </c>
      <c r="AD272" s="323" t="e">
        <f t="shared" ca="1" si="142"/>
        <v>#N/A</v>
      </c>
      <c r="AE272" s="324">
        <f t="shared" ca="1" si="121"/>
        <v>251.51640426885749</v>
      </c>
      <c r="AG272" s="306">
        <f t="shared" ca="1" si="143"/>
        <v>47.241065893824356</v>
      </c>
      <c r="AH272" s="304">
        <f t="shared" ca="1" si="144"/>
        <v>56.986533817959085</v>
      </c>
    </row>
    <row r="273" spans="1:34" x14ac:dyDescent="0.25">
      <c r="A273" s="347">
        <f t="shared" ca="1" si="122"/>
        <v>0.01</v>
      </c>
      <c r="B273" s="304">
        <f t="shared" ca="1" si="123"/>
        <v>2.6899999999999866</v>
      </c>
      <c r="D273" s="306">
        <f t="shared" ca="1" si="124"/>
        <v>6.5024045797343586</v>
      </c>
      <c r="E273" s="307">
        <f t="shared" ca="1" si="125"/>
        <v>46.568483296864123</v>
      </c>
      <c r="F273" s="304">
        <f t="shared" ca="1" si="126"/>
        <v>47.020260546799008</v>
      </c>
      <c r="G273" s="306">
        <f t="shared" ca="1" si="127"/>
        <v>20.416987134250103</v>
      </c>
      <c r="H273" s="307">
        <f t="shared" ca="1" si="128"/>
        <v>176.92545398003153</v>
      </c>
      <c r="I273" s="304">
        <f t="shared" ca="1" si="129"/>
        <v>178.09960592230513</v>
      </c>
      <c r="J273" s="306">
        <f t="shared" ca="1" si="130"/>
        <v>27.302862898687618</v>
      </c>
      <c r="K273" s="307">
        <f t="shared" ca="1" si="131"/>
        <v>253.28333038449296</v>
      </c>
      <c r="L273" s="304">
        <f t="shared" ca="1" si="116"/>
        <v>254.75064626635344</v>
      </c>
      <c r="M273" s="306">
        <f t="shared" ca="1" si="132"/>
        <v>1.4559057116872305</v>
      </c>
      <c r="N273" s="304">
        <f t="shared" ca="1" si="133"/>
        <v>83.417252648668764</v>
      </c>
      <c r="P273" s="310">
        <f t="shared" ca="1" si="134"/>
        <v>9</v>
      </c>
      <c r="Q273" s="304">
        <f t="shared" ca="1" si="135"/>
        <v>793.22500000000275</v>
      </c>
      <c r="R273" s="306">
        <f t="shared" ca="1" si="136"/>
        <v>0.39735199263659138</v>
      </c>
      <c r="S273" s="307">
        <f t="shared" ca="1" si="137"/>
        <v>11.216739313835133</v>
      </c>
      <c r="T273" s="304">
        <f t="shared" ca="1" si="117"/>
        <v>110.03621266872265</v>
      </c>
      <c r="U273" s="311">
        <f t="shared" ca="1" si="118"/>
        <v>0</v>
      </c>
      <c r="V273" s="306">
        <f t="shared" ca="1" si="119"/>
        <v>1.1943608118091624</v>
      </c>
      <c r="W273" s="304">
        <f t="shared" ca="1" si="120"/>
        <v>157.45249529648152</v>
      </c>
      <c r="Y273" s="314" t="str">
        <f t="shared" ca="1" si="138"/>
        <v/>
      </c>
      <c r="Z273" s="315" t="str">
        <f t="shared" ca="1" si="139"/>
        <v/>
      </c>
      <c r="AA273" s="316" t="str">
        <f t="shared" ca="1" si="140"/>
        <v/>
      </c>
      <c r="AC273" s="310" t="e">
        <f t="shared" ca="1" si="141"/>
        <v>#N/A</v>
      </c>
      <c r="AD273" s="323" t="e">
        <f t="shared" ca="1" si="142"/>
        <v>#N/A</v>
      </c>
      <c r="AE273" s="324">
        <f t="shared" ca="1" si="121"/>
        <v>253.28333038449296</v>
      </c>
      <c r="AG273" s="306">
        <f t="shared" ca="1" si="143"/>
        <v>47.006824630646342</v>
      </c>
      <c r="AH273" s="304">
        <f t="shared" ca="1" si="144"/>
        <v>56.752221491086473</v>
      </c>
    </row>
    <row r="274" spans="1:34" x14ac:dyDescent="0.25">
      <c r="A274" s="347">
        <f t="shared" ca="1" si="122"/>
        <v>0.01</v>
      </c>
      <c r="B274" s="304">
        <f t="shared" ca="1" si="123"/>
        <v>2.6999999999999864</v>
      </c>
      <c r="D274" s="306">
        <f t="shared" ca="1" si="124"/>
        <v>6.4790999245385379</v>
      </c>
      <c r="E274" s="307">
        <f t="shared" ca="1" si="125"/>
        <v>46.335291564982469</v>
      </c>
      <c r="F274" s="304">
        <f t="shared" ca="1" si="126"/>
        <v>46.786087464588135</v>
      </c>
      <c r="G274" s="306">
        <f t="shared" ca="1" si="127"/>
        <v>20.481778133495489</v>
      </c>
      <c r="H274" s="307">
        <f t="shared" ca="1" si="128"/>
        <v>177.38880689568137</v>
      </c>
      <c r="I274" s="304">
        <f t="shared" ca="1" si="129"/>
        <v>178.56733197139692</v>
      </c>
      <c r="J274" s="306">
        <f t="shared" ca="1" si="130"/>
        <v>27.507356725026344</v>
      </c>
      <c r="K274" s="307">
        <f t="shared" ca="1" si="131"/>
        <v>255.05490168887152</v>
      </c>
      <c r="L274" s="304">
        <f t="shared" ca="1" si="116"/>
        <v>256.53393060084227</v>
      </c>
      <c r="M274" s="306">
        <f t="shared" ca="1" si="132"/>
        <v>1.4558427326967975</v>
      </c>
      <c r="N274" s="304">
        <f t="shared" ca="1" si="133"/>
        <v>83.41364421831895</v>
      </c>
      <c r="P274" s="310">
        <f t="shared" ca="1" si="134"/>
        <v>9</v>
      </c>
      <c r="Q274" s="304">
        <f t="shared" ca="1" si="135"/>
        <v>791.1750000000028</v>
      </c>
      <c r="R274" s="306">
        <f t="shared" ca="1" si="136"/>
        <v>0.3963250815017873</v>
      </c>
      <c r="S274" s="307">
        <f t="shared" ca="1" si="137"/>
        <v>11.212776063020115</v>
      </c>
      <c r="T274" s="304">
        <f t="shared" ca="1" si="117"/>
        <v>109.99733317822734</v>
      </c>
      <c r="U274" s="311">
        <f t="shared" ca="1" si="118"/>
        <v>0</v>
      </c>
      <c r="V274" s="306">
        <f t="shared" ca="1" si="119"/>
        <v>1.1941492068438859</v>
      </c>
      <c r="W274" s="304">
        <f t="shared" ca="1" si="120"/>
        <v>158.25254367332164</v>
      </c>
      <c r="Y274" s="314" t="str">
        <f t="shared" ca="1" si="138"/>
        <v/>
      </c>
      <c r="Z274" s="315" t="str">
        <f t="shared" ca="1" si="139"/>
        <v/>
      </c>
      <c r="AA274" s="316" t="str">
        <f t="shared" ca="1" si="140"/>
        <v/>
      </c>
      <c r="AC274" s="310" t="e">
        <f t="shared" ca="1" si="141"/>
        <v>#N/A</v>
      </c>
      <c r="AD274" s="323" t="e">
        <f t="shared" ca="1" si="142"/>
        <v>#N/A</v>
      </c>
      <c r="AE274" s="324">
        <f t="shared" ca="1" si="121"/>
        <v>255.05490168887152</v>
      </c>
      <c r="AG274" s="306">
        <f t="shared" ca="1" si="143"/>
        <v>46.772569496119274</v>
      </c>
      <c r="AH274" s="304">
        <f t="shared" ca="1" si="144"/>
        <v>56.517895402686811</v>
      </c>
    </row>
    <row r="275" spans="1:34" x14ac:dyDescent="0.25">
      <c r="A275" s="347">
        <f t="shared" ca="1" si="122"/>
        <v>0.01</v>
      </c>
      <c r="B275" s="304">
        <f t="shared" ca="1" si="123"/>
        <v>2.7099999999999862</v>
      </c>
      <c r="D275" s="306">
        <f t="shared" ca="1" si="124"/>
        <v>6.4557573734278533</v>
      </c>
      <c r="E275" s="307">
        <f t="shared" ca="1" si="125"/>
        <v>46.102093696960942</v>
      </c>
      <c r="F275" s="304">
        <f t="shared" ca="1" si="126"/>
        <v>46.551904864440665</v>
      </c>
      <c r="G275" s="306">
        <f t="shared" ca="1" si="127"/>
        <v>20.546335707229769</v>
      </c>
      <c r="H275" s="307">
        <f t="shared" ca="1" si="128"/>
        <v>177.84982783265099</v>
      </c>
      <c r="I275" s="304">
        <f t="shared" ca="1" si="129"/>
        <v>179.03271536537054</v>
      </c>
      <c r="J275" s="306">
        <f t="shared" ca="1" si="130"/>
        <v>27.712497294229969</v>
      </c>
      <c r="K275" s="307">
        <f t="shared" ca="1" si="131"/>
        <v>256.83109486251317</v>
      </c>
      <c r="L275" s="304">
        <f t="shared" ca="1" si="116"/>
        <v>258.32188020870382</v>
      </c>
      <c r="M275" s="306">
        <f t="shared" ca="1" si="132"/>
        <v>1.4557798831346127</v>
      </c>
      <c r="N275" s="304">
        <f t="shared" ca="1" si="133"/>
        <v>83.410043203661516</v>
      </c>
      <c r="P275" s="310">
        <f t="shared" ca="1" si="134"/>
        <v>9</v>
      </c>
      <c r="Q275" s="304">
        <f t="shared" ca="1" si="135"/>
        <v>789.12500000000284</v>
      </c>
      <c r="R275" s="306">
        <f t="shared" ca="1" si="136"/>
        <v>0.39529817036698317</v>
      </c>
      <c r="S275" s="307">
        <f t="shared" ca="1" si="137"/>
        <v>11.208823081316446</v>
      </c>
      <c r="T275" s="304">
        <f t="shared" ca="1" si="117"/>
        <v>109.95855442771433</v>
      </c>
      <c r="U275" s="311">
        <f t="shared" ca="1" si="118"/>
        <v>0</v>
      </c>
      <c r="V275" s="306">
        <f t="shared" ca="1" si="119"/>
        <v>1.1939370869774026</v>
      </c>
      <c r="W275" s="304">
        <f t="shared" ca="1" si="120"/>
        <v>159.05023875163374</v>
      </c>
      <c r="Y275" s="314" t="str">
        <f t="shared" ca="1" si="138"/>
        <v/>
      </c>
      <c r="Z275" s="315" t="str">
        <f t="shared" ca="1" si="139"/>
        <v/>
      </c>
      <c r="AA275" s="316" t="str">
        <f t="shared" ca="1" si="140"/>
        <v/>
      </c>
      <c r="AC275" s="310" t="e">
        <f t="shared" ca="1" si="141"/>
        <v>#N/A</v>
      </c>
      <c r="AD275" s="323" t="e">
        <f t="shared" ca="1" si="142"/>
        <v>#N/A</v>
      </c>
      <c r="AE275" s="324">
        <f t="shared" ca="1" si="121"/>
        <v>256.83109486251317</v>
      </c>
      <c r="AG275" s="306">
        <f t="shared" ca="1" si="143"/>
        <v>46.538304037796685</v>
      </c>
      <c r="AH275" s="304">
        <f t="shared" ca="1" si="144"/>
        <v>56.283559098926112</v>
      </c>
    </row>
    <row r="276" spans="1:34" x14ac:dyDescent="0.25">
      <c r="A276" s="347">
        <f t="shared" ca="1" si="122"/>
        <v>0.01</v>
      </c>
      <c r="B276" s="304">
        <f t="shared" ca="1" si="123"/>
        <v>2.719999999999986</v>
      </c>
      <c r="D276" s="306">
        <f t="shared" ca="1" si="124"/>
        <v>6.432377501101894</v>
      </c>
      <c r="E276" s="307">
        <f t="shared" ca="1" si="125"/>
        <v>45.868893182059871</v>
      </c>
      <c r="F276" s="304">
        <f t="shared" ca="1" si="126"/>
        <v>46.317716287225345</v>
      </c>
      <c r="G276" s="306">
        <f t="shared" ca="1" si="127"/>
        <v>20.610659482240788</v>
      </c>
      <c r="H276" s="307">
        <f t="shared" ca="1" si="128"/>
        <v>178.30851676447159</v>
      </c>
      <c r="I276" s="304">
        <f t="shared" ca="1" si="129"/>
        <v>179.4957560362883</v>
      </c>
      <c r="J276" s="306">
        <f t="shared" ca="1" si="130"/>
        <v>27.918282270177322</v>
      </c>
      <c r="K276" s="307">
        <f t="shared" ca="1" si="131"/>
        <v>258.61188658549878</v>
      </c>
      <c r="L276" s="304">
        <f t="shared" ca="1" si="116"/>
        <v>260.1144716624359</v>
      </c>
      <c r="M276" s="306">
        <f t="shared" ca="1" si="132"/>
        <v>1.4557171615814466</v>
      </c>
      <c r="N276" s="304">
        <f t="shared" ca="1" si="133"/>
        <v>83.406449523380601</v>
      </c>
      <c r="P276" s="310">
        <f t="shared" ca="1" si="134"/>
        <v>9</v>
      </c>
      <c r="Q276" s="304">
        <f t="shared" ca="1" si="135"/>
        <v>787.07500000000289</v>
      </c>
      <c r="R276" s="306">
        <f t="shared" ca="1" si="136"/>
        <v>0.39427125923217904</v>
      </c>
      <c r="S276" s="307">
        <f t="shared" ca="1" si="137"/>
        <v>11.204880368724124</v>
      </c>
      <c r="T276" s="304">
        <f t="shared" ca="1" si="117"/>
        <v>109.91987641718366</v>
      </c>
      <c r="U276" s="311">
        <f t="shared" ca="1" si="118"/>
        <v>0</v>
      </c>
      <c r="V276" s="306">
        <f t="shared" ca="1" si="119"/>
        <v>1.1937244552745485</v>
      </c>
      <c r="W276" s="304">
        <f t="shared" ca="1" si="120"/>
        <v>159.84554836014766</v>
      </c>
      <c r="Y276" s="314" t="str">
        <f t="shared" ca="1" si="138"/>
        <v/>
      </c>
      <c r="Z276" s="315" t="str">
        <f t="shared" ca="1" si="139"/>
        <v/>
      </c>
      <c r="AA276" s="316" t="str">
        <f t="shared" ca="1" si="140"/>
        <v/>
      </c>
      <c r="AC276" s="310" t="e">
        <f t="shared" ca="1" si="141"/>
        <v>#N/A</v>
      </c>
      <c r="AD276" s="323" t="e">
        <f t="shared" ca="1" si="142"/>
        <v>#N/A</v>
      </c>
      <c r="AE276" s="324">
        <f t="shared" ca="1" si="121"/>
        <v>258.61188658549878</v>
      </c>
      <c r="AG276" s="306">
        <f t="shared" ca="1" si="143"/>
        <v>46.304031785021799</v>
      </c>
      <c r="AH276" s="304">
        <f t="shared" ca="1" si="144"/>
        <v>56.049216107773667</v>
      </c>
    </row>
    <row r="277" spans="1:34" x14ac:dyDescent="0.25">
      <c r="A277" s="347">
        <f t="shared" ca="1" si="122"/>
        <v>0.01</v>
      </c>
      <c r="B277" s="304">
        <f t="shared" ca="1" si="123"/>
        <v>2.7299999999999858</v>
      </c>
      <c r="D277" s="306">
        <f t="shared" ca="1" si="124"/>
        <v>6.4089608788504568</v>
      </c>
      <c r="E277" s="307">
        <f t="shared" ca="1" si="125"/>
        <v>45.635693491468366</v>
      </c>
      <c r="F277" s="304">
        <f t="shared" ca="1" si="126"/>
        <v>46.083525255712409</v>
      </c>
      <c r="G277" s="306">
        <f t="shared" ca="1" si="127"/>
        <v>20.674749091029291</v>
      </c>
      <c r="H277" s="307">
        <f t="shared" ca="1" si="128"/>
        <v>178.76487369938627</v>
      </c>
      <c r="I277" s="304">
        <f t="shared" ca="1" si="129"/>
        <v>179.95645395132274</v>
      </c>
      <c r="J277" s="306">
        <f t="shared" ca="1" si="130"/>
        <v>28.124709313043674</v>
      </c>
      <c r="K277" s="307">
        <f t="shared" ca="1" si="131"/>
        <v>260.39725353781807</v>
      </c>
      <c r="L277" s="304">
        <f t="shared" ca="1" si="116"/>
        <v>261.91168153402765</v>
      </c>
      <c r="M277" s="306">
        <f t="shared" ca="1" si="132"/>
        <v>1.4556545666332423</v>
      </c>
      <c r="N277" s="304">
        <f t="shared" ca="1" si="133"/>
        <v>83.402863097029652</v>
      </c>
      <c r="P277" s="310">
        <f t="shared" ca="1" si="134"/>
        <v>9</v>
      </c>
      <c r="Q277" s="304">
        <f t="shared" ca="1" si="135"/>
        <v>785.02500000000293</v>
      </c>
      <c r="R277" s="306">
        <f t="shared" ca="1" si="136"/>
        <v>0.39324434809737496</v>
      </c>
      <c r="S277" s="307">
        <f t="shared" ca="1" si="137"/>
        <v>11.200947925243151</v>
      </c>
      <c r="T277" s="304">
        <f t="shared" ca="1" si="117"/>
        <v>109.88129914663531</v>
      </c>
      <c r="U277" s="311">
        <f t="shared" ca="1" si="118"/>
        <v>0</v>
      </c>
      <c r="V277" s="306">
        <f t="shared" ca="1" si="119"/>
        <v>1.1935113147988126</v>
      </c>
      <c r="W277" s="304">
        <f t="shared" ca="1" si="120"/>
        <v>160.63844058904456</v>
      </c>
      <c r="Y277" s="314" t="str">
        <f t="shared" ca="1" si="138"/>
        <v/>
      </c>
      <c r="Z277" s="315" t="str">
        <f t="shared" ca="1" si="139"/>
        <v/>
      </c>
      <c r="AA277" s="316" t="str">
        <f t="shared" ca="1" si="140"/>
        <v/>
      </c>
      <c r="AC277" s="310" t="e">
        <f t="shared" ca="1" si="141"/>
        <v>#N/A</v>
      </c>
      <c r="AD277" s="323" t="e">
        <f t="shared" ca="1" si="142"/>
        <v>#N/A</v>
      </c>
      <c r="AE277" s="324">
        <f t="shared" ca="1" si="121"/>
        <v>260.39725353781807</v>
      </c>
      <c r="AG277" s="306">
        <f t="shared" ca="1" si="143"/>
        <v>46.06975624882724</v>
      </c>
      <c r="AH277" s="304">
        <f t="shared" ca="1" si="144"/>
        <v>55.814869938901523</v>
      </c>
    </row>
    <row r="278" spans="1:34" x14ac:dyDescent="0.25">
      <c r="A278" s="347">
        <f t="shared" ca="1" si="122"/>
        <v>0.01</v>
      </c>
      <c r="B278" s="304">
        <f t="shared" ca="1" si="123"/>
        <v>2.7399999999999856</v>
      </c>
      <c r="D278" s="306">
        <f t="shared" ca="1" si="124"/>
        <v>6.3855080745638615</v>
      </c>
      <c r="E278" s="307">
        <f t="shared" ca="1" si="125"/>
        <v>45.402498078204729</v>
      </c>
      <c r="F278" s="304">
        <f t="shared" ca="1" si="126"/>
        <v>45.849335274480303</v>
      </c>
      <c r="G278" s="306">
        <f t="shared" ca="1" si="127"/>
        <v>20.738604171774931</v>
      </c>
      <c r="H278" s="307">
        <f t="shared" ca="1" si="128"/>
        <v>179.21889868016831</v>
      </c>
      <c r="I278" s="304">
        <f t="shared" ca="1" si="129"/>
        <v>180.41480911257256</v>
      </c>
      <c r="J278" s="306">
        <f t="shared" ca="1" si="130"/>
        <v>28.331776079357695</v>
      </c>
      <c r="K278" s="307">
        <f t="shared" ca="1" si="131"/>
        <v>262.18717239971585</v>
      </c>
      <c r="L278" s="304">
        <f t="shared" ca="1" si="116"/>
        <v>263.7134863953097</v>
      </c>
      <c r="M278" s="306">
        <f t="shared" ca="1" si="132"/>
        <v>1.4555920969008722</v>
      </c>
      <c r="N278" s="304">
        <f t="shared" ca="1" si="133"/>
        <v>83.399283845017536</v>
      </c>
      <c r="P278" s="310">
        <f t="shared" ca="1" si="134"/>
        <v>9</v>
      </c>
      <c r="Q278" s="304">
        <f t="shared" ca="1" si="135"/>
        <v>782.97500000000298</v>
      </c>
      <c r="R278" s="306">
        <f t="shared" ca="1" si="136"/>
        <v>0.39221743696257083</v>
      </c>
      <c r="S278" s="307">
        <f t="shared" ca="1" si="137"/>
        <v>11.197025750873525</v>
      </c>
      <c r="T278" s="304">
        <f t="shared" ca="1" si="117"/>
        <v>109.84282261606928</v>
      </c>
      <c r="U278" s="311">
        <f t="shared" ca="1" si="118"/>
        <v>0</v>
      </c>
      <c r="V278" s="306">
        <f t="shared" ca="1" si="119"/>
        <v>1.1932976686122858</v>
      </c>
      <c r="W278" s="304">
        <f t="shared" ca="1" si="120"/>
        <v>161.42888379031552</v>
      </c>
      <c r="Y278" s="314" t="str">
        <f t="shared" ca="1" si="138"/>
        <v/>
      </c>
      <c r="Z278" s="315" t="str">
        <f t="shared" ca="1" si="139"/>
        <v/>
      </c>
      <c r="AA278" s="316" t="str">
        <f t="shared" ca="1" si="140"/>
        <v/>
      </c>
      <c r="AC278" s="310" t="e">
        <f t="shared" ca="1" si="141"/>
        <v>#N/A</v>
      </c>
      <c r="AD278" s="323" t="e">
        <f t="shared" ca="1" si="142"/>
        <v>#N/A</v>
      </c>
      <c r="AE278" s="324">
        <f t="shared" ca="1" si="121"/>
        <v>262.18717239971585</v>
      </c>
      <c r="AG278" s="306">
        <f t="shared" ca="1" si="143"/>
        <v>45.835480921836748</v>
      </c>
      <c r="AH278" s="304">
        <f t="shared" ca="1" si="144"/>
        <v>55.580524083585985</v>
      </c>
    </row>
    <row r="279" spans="1:34" x14ac:dyDescent="0.25">
      <c r="A279" s="347">
        <f t="shared" ca="1" si="122"/>
        <v>0.01</v>
      </c>
      <c r="B279" s="304">
        <f t="shared" ca="1" si="123"/>
        <v>2.7499999999999853</v>
      </c>
      <c r="D279" s="306">
        <f t="shared" ca="1" si="124"/>
        <v>6.3620196527428234</v>
      </c>
      <c r="E279" s="307">
        <f t="shared" ca="1" si="125"/>
        <v>45.16931037701908</v>
      </c>
      <c r="F279" s="304">
        <f t="shared" ca="1" si="126"/>
        <v>45.615149829824844</v>
      </c>
      <c r="G279" s="306">
        <f t="shared" ca="1" si="127"/>
        <v>20.802224368302358</v>
      </c>
      <c r="H279" s="307">
        <f t="shared" ca="1" si="128"/>
        <v>179.67059178393851</v>
      </c>
      <c r="I279" s="304">
        <f t="shared" ca="1" si="129"/>
        <v>180.87082155687762</v>
      </c>
      <c r="J279" s="306">
        <f t="shared" ca="1" si="130"/>
        <v>28.539480222058081</v>
      </c>
      <c r="K279" s="307">
        <f t="shared" ca="1" si="131"/>
        <v>263.98161985203637</v>
      </c>
      <c r="L279" s="304">
        <f t="shared" ca="1" si="116"/>
        <v>265.51986281830273</v>
      </c>
      <c r="M279" s="306">
        <f t="shared" ca="1" si="132"/>
        <v>1.4555297510098977</v>
      </c>
      <c r="N279" s="304">
        <f t="shared" ca="1" si="133"/>
        <v>83.395711688594716</v>
      </c>
      <c r="P279" s="310">
        <f t="shared" ca="1" si="134"/>
        <v>9</v>
      </c>
      <c r="Q279" s="304">
        <f t="shared" ca="1" si="135"/>
        <v>780.92500000000302</v>
      </c>
      <c r="R279" s="306">
        <f t="shared" ca="1" si="136"/>
        <v>0.3911905258277667</v>
      </c>
      <c r="S279" s="307">
        <f t="shared" ca="1" si="137"/>
        <v>11.193113845615247</v>
      </c>
      <c r="T279" s="304">
        <f t="shared" ca="1" si="117"/>
        <v>109.80444682548558</v>
      </c>
      <c r="U279" s="311">
        <f t="shared" ca="1" si="118"/>
        <v>0</v>
      </c>
      <c r="V279" s="306">
        <f t="shared" ca="1" si="119"/>
        <v>1.1930835197756062</v>
      </c>
      <c r="W279" s="304">
        <f t="shared" ca="1" si="120"/>
        <v>162.21684657809723</v>
      </c>
      <c r="Y279" s="314" t="str">
        <f t="shared" ca="1" si="138"/>
        <v/>
      </c>
      <c r="Z279" s="315" t="str">
        <f t="shared" ca="1" si="139"/>
        <v/>
      </c>
      <c r="AA279" s="316" t="str">
        <f t="shared" ca="1" si="140"/>
        <v/>
      </c>
      <c r="AC279" s="310" t="e">
        <f t="shared" ca="1" si="141"/>
        <v>#N/A</v>
      </c>
      <c r="AD279" s="323" t="e">
        <f t="shared" ca="1" si="142"/>
        <v>#N/A</v>
      </c>
      <c r="AE279" s="324">
        <f t="shared" ca="1" si="121"/>
        <v>263.98161985203637</v>
      </c>
      <c r="AG279" s="306">
        <f t="shared" ca="1" si="143"/>
        <v>45.601209278169065</v>
      </c>
      <c r="AH279" s="304">
        <f t="shared" ca="1" si="144"/>
        <v>55.346182014611308</v>
      </c>
    </row>
    <row r="280" spans="1:34" x14ac:dyDescent="0.25">
      <c r="A280" s="347">
        <f t="shared" ca="1" si="122"/>
        <v>0.01</v>
      </c>
      <c r="B280" s="304">
        <f t="shared" ca="1" si="123"/>
        <v>2.7599999999999851</v>
      </c>
      <c r="D280" s="306">
        <f t="shared" ca="1" si="124"/>
        <v>6.3384961745081387</v>
      </c>
      <c r="E280" s="307">
        <f t="shared" ca="1" si="125"/>
        <v>44.936133804297938</v>
      </c>
      <c r="F280" s="304">
        <f t="shared" ca="1" si="126"/>
        <v>45.380972389670347</v>
      </c>
      <c r="G280" s="306">
        <f t="shared" ca="1" si="127"/>
        <v>20.865609330047441</v>
      </c>
      <c r="H280" s="307">
        <f t="shared" ca="1" si="128"/>
        <v>180.1199531219815</v>
      </c>
      <c r="I280" s="304">
        <f t="shared" ca="1" si="129"/>
        <v>181.32449135563286</v>
      </c>
      <c r="J280" s="306">
        <f t="shared" ca="1" si="130"/>
        <v>28.747819390549829</v>
      </c>
      <c r="K280" s="307">
        <f t="shared" ca="1" si="131"/>
        <v>265.78057257656599</v>
      </c>
      <c r="L280" s="304">
        <f t="shared" ca="1" si="116"/>
        <v>267.33078737556389</v>
      </c>
      <c r="M280" s="306">
        <f t="shared" ca="1" si="132"/>
        <v>1.4554675276003348</v>
      </c>
      <c r="N280" s="304">
        <f t="shared" ca="1" si="133"/>
        <v>83.39214654983985</v>
      </c>
      <c r="P280" s="310">
        <f t="shared" ca="1" si="134"/>
        <v>9</v>
      </c>
      <c r="Q280" s="304">
        <f t="shared" ca="1" si="135"/>
        <v>778.87500000000307</v>
      </c>
      <c r="R280" s="306">
        <f t="shared" ca="1" si="136"/>
        <v>0.39016361469296262</v>
      </c>
      <c r="S280" s="307">
        <f t="shared" ca="1" si="137"/>
        <v>11.189212209468318</v>
      </c>
      <c r="T280" s="304">
        <f t="shared" ca="1" si="117"/>
        <v>109.7661717748842</v>
      </c>
      <c r="U280" s="311">
        <f t="shared" ca="1" si="118"/>
        <v>0</v>
      </c>
      <c r="V280" s="306">
        <f t="shared" ca="1" si="119"/>
        <v>1.1928688713479052</v>
      </c>
      <c r="W280" s="304">
        <f t="shared" ca="1" si="120"/>
        <v>163.00229782898441</v>
      </c>
      <c r="Y280" s="314" t="str">
        <f t="shared" ca="1" si="138"/>
        <v/>
      </c>
      <c r="Z280" s="315" t="str">
        <f t="shared" ca="1" si="139"/>
        <v/>
      </c>
      <c r="AA280" s="316" t="str">
        <f t="shared" ca="1" si="140"/>
        <v/>
      </c>
      <c r="AC280" s="310" t="e">
        <f t="shared" ca="1" si="141"/>
        <v>#N/A</v>
      </c>
      <c r="AD280" s="323" t="e">
        <f t="shared" ca="1" si="142"/>
        <v>#N/A</v>
      </c>
      <c r="AE280" s="324">
        <f t="shared" ca="1" si="121"/>
        <v>265.78057257656599</v>
      </c>
      <c r="AG280" s="306">
        <f t="shared" ca="1" si="143"/>
        <v>45.36694477334386</v>
      </c>
      <c r="AH280" s="304">
        <f t="shared" ca="1" si="144"/>
        <v>55.111847186175389</v>
      </c>
    </row>
    <row r="281" spans="1:34" x14ac:dyDescent="0.25">
      <c r="A281" s="347">
        <f t="shared" ca="1" si="122"/>
        <v>0.01</v>
      </c>
      <c r="B281" s="304">
        <f t="shared" ca="1" si="123"/>
        <v>2.7699999999999849</v>
      </c>
      <c r="D281" s="306">
        <f t="shared" ca="1" si="124"/>
        <v>6.3149381976100578</v>
      </c>
      <c r="E281" s="307">
        <f t="shared" ca="1" si="125"/>
        <v>44.702971757971056</v>
      </c>
      <c r="F281" s="304">
        <f t="shared" ca="1" si="126"/>
        <v>45.146806403483211</v>
      </c>
      <c r="G281" s="306">
        <f t="shared" ca="1" si="127"/>
        <v>20.928758712023541</v>
      </c>
      <c r="H281" s="307">
        <f t="shared" ca="1" si="128"/>
        <v>180.56698283956121</v>
      </c>
      <c r="I281" s="304">
        <f t="shared" ca="1" si="129"/>
        <v>181.77581861460146</v>
      </c>
      <c r="J281" s="306">
        <f t="shared" ca="1" si="130"/>
        <v>28.956791230760185</v>
      </c>
      <c r="K281" s="307">
        <f t="shared" ca="1" si="131"/>
        <v>267.5840072563737</v>
      </c>
      <c r="L281" s="304">
        <f t="shared" ca="1" si="116"/>
        <v>269.1462366405313</v>
      </c>
      <c r="M281" s="306">
        <f t="shared" ca="1" si="132"/>
        <v>1.4554054253264235</v>
      </c>
      <c r="N281" s="304">
        <f t="shared" ca="1" si="133"/>
        <v>83.388588351646561</v>
      </c>
      <c r="P281" s="310">
        <f t="shared" ca="1" si="134"/>
        <v>9</v>
      </c>
      <c r="Q281" s="304">
        <f t="shared" ca="1" si="135"/>
        <v>776.82500000000312</v>
      </c>
      <c r="R281" s="306">
        <f t="shared" ca="1" si="136"/>
        <v>0.38913670355815849</v>
      </c>
      <c r="S281" s="307">
        <f t="shared" ca="1" si="137"/>
        <v>11.185320842432736</v>
      </c>
      <c r="T281" s="304">
        <f t="shared" ca="1" si="117"/>
        <v>109.72799746426514</v>
      </c>
      <c r="U281" s="311">
        <f t="shared" ca="1" si="118"/>
        <v>0</v>
      </c>
      <c r="V281" s="306">
        <f t="shared" ca="1" si="119"/>
        <v>1.1926537263867565</v>
      </c>
      <c r="W281" s="304">
        <f t="shared" ca="1" si="120"/>
        <v>163.78520668232107</v>
      </c>
      <c r="Y281" s="314" t="str">
        <f t="shared" ca="1" si="138"/>
        <v/>
      </c>
      <c r="Z281" s="315" t="str">
        <f t="shared" ca="1" si="139"/>
        <v/>
      </c>
      <c r="AA281" s="316" t="str">
        <f t="shared" ca="1" si="140"/>
        <v/>
      </c>
      <c r="AC281" s="310" t="e">
        <f t="shared" ca="1" si="141"/>
        <v>#N/A</v>
      </c>
      <c r="AD281" s="323" t="e">
        <f t="shared" ca="1" si="142"/>
        <v>#N/A</v>
      </c>
      <c r="AE281" s="324">
        <f t="shared" ca="1" si="121"/>
        <v>267.5840072563737</v>
      </c>
      <c r="AG281" s="306">
        <f t="shared" ca="1" si="143"/>
        <v>45.132690844189753</v>
      </c>
      <c r="AH281" s="304">
        <f t="shared" ca="1" si="144"/>
        <v>54.877523033797587</v>
      </c>
    </row>
    <row r="282" spans="1:34" x14ac:dyDescent="0.25">
      <c r="A282" s="347">
        <f t="shared" ca="1" si="122"/>
        <v>0.01</v>
      </c>
      <c r="B282" s="304">
        <f t="shared" ca="1" si="123"/>
        <v>2.7799999999999847</v>
      </c>
      <c r="D282" s="306">
        <f t="shared" ca="1" si="124"/>
        <v>6.2913462764374666</v>
      </c>
      <c r="E282" s="307">
        <f t="shared" ca="1" si="125"/>
        <v>44.469827617420258</v>
      </c>
      <c r="F282" s="304">
        <f t="shared" ca="1" si="126"/>
        <v>44.912655302187567</v>
      </c>
      <c r="G282" s="306">
        <f t="shared" ca="1" si="127"/>
        <v>20.991672174787915</v>
      </c>
      <c r="H282" s="307">
        <f t="shared" ca="1" si="128"/>
        <v>181.0116811157354</v>
      </c>
      <c r="I282" s="304">
        <f t="shared" ca="1" si="129"/>
        <v>182.22480347372706</v>
      </c>
      <c r="J282" s="306">
        <f t="shared" ca="1" si="130"/>
        <v>29.166393385194244</v>
      </c>
      <c r="K282" s="307">
        <f t="shared" ca="1" si="131"/>
        <v>269.39190057615019</v>
      </c>
      <c r="L282" s="304">
        <f t="shared" ca="1" si="116"/>
        <v>270.96618718786721</v>
      </c>
      <c r="M282" s="306">
        <f t="shared" ca="1" si="132"/>
        <v>1.4553434428564012</v>
      </c>
      <c r="N282" s="304">
        <f t="shared" ca="1" si="133"/>
        <v>83.385037017710488</v>
      </c>
      <c r="P282" s="310">
        <f t="shared" ca="1" si="134"/>
        <v>9</v>
      </c>
      <c r="Q282" s="304">
        <f t="shared" ca="1" si="135"/>
        <v>774.77500000000316</v>
      </c>
      <c r="R282" s="306">
        <f t="shared" ca="1" si="136"/>
        <v>0.38810979242335442</v>
      </c>
      <c r="S282" s="307">
        <f t="shared" ca="1" si="137"/>
        <v>11.181439744508502</v>
      </c>
      <c r="T282" s="304">
        <f t="shared" ca="1" si="117"/>
        <v>109.68992389362842</v>
      </c>
      <c r="U282" s="311">
        <f t="shared" ca="1" si="118"/>
        <v>0</v>
      </c>
      <c r="V282" s="306">
        <f t="shared" ca="1" si="119"/>
        <v>1.1924380879481242</v>
      </c>
      <c r="W282" s="304">
        <f t="shared" ca="1" si="120"/>
        <v>164.5655425404689</v>
      </c>
      <c r="Y282" s="314" t="str">
        <f t="shared" ca="1" si="138"/>
        <v/>
      </c>
      <c r="Z282" s="315" t="str">
        <f t="shared" ca="1" si="139"/>
        <v/>
      </c>
      <c r="AA282" s="316" t="str">
        <f t="shared" ca="1" si="140"/>
        <v/>
      </c>
      <c r="AC282" s="310" t="e">
        <f t="shared" ca="1" si="141"/>
        <v>#N/A</v>
      </c>
      <c r="AD282" s="323" t="e">
        <f t="shared" ca="1" si="142"/>
        <v>#N/A</v>
      </c>
      <c r="AE282" s="324">
        <f t="shared" ca="1" si="121"/>
        <v>269.39190057615019</v>
      </c>
      <c r="AG282" s="306">
        <f t="shared" ca="1" si="143"/>
        <v>44.898450908754334</v>
      </c>
      <c r="AH282" s="304">
        <f t="shared" ca="1" si="144"/>
        <v>54.643212974228582</v>
      </c>
    </row>
    <row r="283" spans="1:34" x14ac:dyDescent="0.25">
      <c r="A283" s="347">
        <f t="shared" ca="1" si="122"/>
        <v>0.01</v>
      </c>
      <c r="B283" s="304">
        <f t="shared" ca="1" si="123"/>
        <v>2.7899999999999845</v>
      </c>
      <c r="D283" s="306">
        <f t="shared" ca="1" si="124"/>
        <v>6.2677209620268091</v>
      </c>
      <c r="E283" s="307">
        <f t="shared" ca="1" si="125"/>
        <v>44.236704743390391</v>
      </c>
      <c r="F283" s="304">
        <f t="shared" ca="1" si="126"/>
        <v>44.678522498083218</v>
      </c>
      <c r="G283" s="306">
        <f t="shared" ca="1" si="127"/>
        <v>21.054349384408184</v>
      </c>
      <c r="H283" s="307">
        <f t="shared" ca="1" si="128"/>
        <v>181.45404816316929</v>
      </c>
      <c r="I283" s="304">
        <f t="shared" ca="1" si="129"/>
        <v>182.67144610694496</v>
      </c>
      <c r="J283" s="306">
        <f t="shared" ca="1" si="130"/>
        <v>29.376623492990223</v>
      </c>
      <c r="K283" s="307">
        <f t="shared" ca="1" si="131"/>
        <v>271.20422922254471</v>
      </c>
      <c r="L283" s="304">
        <f t="shared" ca="1" si="116"/>
        <v>272.79061559379841</v>
      </c>
      <c r="M283" s="306">
        <f t="shared" ca="1" si="132"/>
        <v>1.4552815788722813</v>
      </c>
      <c r="N283" s="304">
        <f t="shared" ca="1" si="133"/>
        <v>83.381492472516555</v>
      </c>
      <c r="P283" s="310">
        <f t="shared" ca="1" si="134"/>
        <v>9</v>
      </c>
      <c r="Q283" s="304">
        <f t="shared" ca="1" si="135"/>
        <v>772.72500000000321</v>
      </c>
      <c r="R283" s="306">
        <f t="shared" ca="1" si="136"/>
        <v>0.38708288128855028</v>
      </c>
      <c r="S283" s="307">
        <f t="shared" ca="1" si="137"/>
        <v>11.177568915695616</v>
      </c>
      <c r="T283" s="304">
        <f t="shared" ca="1" si="117"/>
        <v>109.65195106297401</v>
      </c>
      <c r="U283" s="311">
        <f t="shared" ca="1" si="118"/>
        <v>0</v>
      </c>
      <c r="V283" s="306">
        <f t="shared" ca="1" si="119"/>
        <v>1.1922219590863095</v>
      </c>
      <c r="W283" s="304">
        <f t="shared" ca="1" si="120"/>
        <v>165.34327506905271</v>
      </c>
      <c r="Y283" s="314" t="str">
        <f t="shared" ca="1" si="138"/>
        <v/>
      </c>
      <c r="Z283" s="315" t="str">
        <f t="shared" ca="1" si="139"/>
        <v/>
      </c>
      <c r="AA283" s="316" t="str">
        <f t="shared" ca="1" si="140"/>
        <v/>
      </c>
      <c r="AC283" s="310" t="e">
        <f t="shared" ca="1" si="141"/>
        <v>#N/A</v>
      </c>
      <c r="AD283" s="323" t="e">
        <f t="shared" ca="1" si="142"/>
        <v>#N/A</v>
      </c>
      <c r="AE283" s="324">
        <f t="shared" ca="1" si="121"/>
        <v>271.20422922254471</v>
      </c>
      <c r="AG283" s="306">
        <f t="shared" ca="1" si="143"/>
        <v>44.664228366216321</v>
      </c>
      <c r="AH283" s="304">
        <f t="shared" ca="1" si="144"/>
        <v>54.408920405362281</v>
      </c>
    </row>
    <row r="284" spans="1:34" x14ac:dyDescent="0.25">
      <c r="A284" s="347">
        <f t="shared" ca="1" si="122"/>
        <v>0.01</v>
      </c>
      <c r="B284" s="304">
        <f t="shared" ca="1" si="123"/>
        <v>2.7999999999999843</v>
      </c>
      <c r="D284" s="306">
        <f t="shared" ca="1" si="124"/>
        <v>6.2440628020707996</v>
      </c>
      <c r="E284" s="307">
        <f t="shared" ca="1" si="125"/>
        <v>44.003606477902409</v>
      </c>
      <c r="F284" s="304">
        <f t="shared" ca="1" si="126"/>
        <v>44.444411384765793</v>
      </c>
      <c r="G284" s="306">
        <f t="shared" ca="1" si="127"/>
        <v>21.116790012428893</v>
      </c>
      <c r="H284" s="307">
        <f t="shared" ca="1" si="128"/>
        <v>181.89408422794833</v>
      </c>
      <c r="I284" s="304">
        <f t="shared" ca="1" si="129"/>
        <v>183.11574672199271</v>
      </c>
      <c r="J284" s="306">
        <f t="shared" ca="1" si="130"/>
        <v>29.58747918997441</v>
      </c>
      <c r="K284" s="307">
        <f t="shared" ca="1" si="131"/>
        <v>273.02096988450029</v>
      </c>
      <c r="L284" s="304">
        <f t="shared" ca="1" si="116"/>
        <v>274.6194984364555</v>
      </c>
      <c r="M284" s="306">
        <f t="shared" ca="1" si="132"/>
        <v>1.4552198320696352</v>
      </c>
      <c r="N284" s="304">
        <f t="shared" ca="1" si="133"/>
        <v>83.377954641326511</v>
      </c>
      <c r="P284" s="310">
        <f t="shared" ca="1" si="134"/>
        <v>9</v>
      </c>
      <c r="Q284" s="304">
        <f t="shared" ca="1" si="135"/>
        <v>770.67500000000325</v>
      </c>
      <c r="R284" s="306">
        <f t="shared" ca="1" si="136"/>
        <v>0.38605597015374615</v>
      </c>
      <c r="S284" s="307">
        <f t="shared" ca="1" si="137"/>
        <v>11.173708355994078</v>
      </c>
      <c r="T284" s="304">
        <f t="shared" ca="1" si="117"/>
        <v>109.61407897230191</v>
      </c>
      <c r="U284" s="311">
        <f t="shared" ca="1" si="118"/>
        <v>0</v>
      </c>
      <c r="V284" s="306">
        <f t="shared" ca="1" si="119"/>
        <v>1.1920053428539006</v>
      </c>
      <c r="W284" s="304">
        <f t="shared" ca="1" si="120"/>
        <v>166.11837419718591</v>
      </c>
      <c r="Y284" s="314" t="str">
        <f t="shared" ca="1" si="138"/>
        <v/>
      </c>
      <c r="Z284" s="315" t="str">
        <f t="shared" ca="1" si="139"/>
        <v/>
      </c>
      <c r="AA284" s="316" t="str">
        <f t="shared" ca="1" si="140"/>
        <v/>
      </c>
      <c r="AC284" s="310" t="e">
        <f t="shared" ca="1" si="141"/>
        <v>#N/A</v>
      </c>
      <c r="AD284" s="323" t="e">
        <f t="shared" ca="1" si="142"/>
        <v>#N/A</v>
      </c>
      <c r="AE284" s="324">
        <f t="shared" ca="1" si="121"/>
        <v>273.02096988450029</v>
      </c>
      <c r="AG284" s="306">
        <f t="shared" ca="1" si="143"/>
        <v>44.430026596799763</v>
      </c>
      <c r="AH284" s="304">
        <f t="shared" ca="1" si="144"/>
        <v>54.17464870614986</v>
      </c>
    </row>
    <row r="285" spans="1:34" x14ac:dyDescent="0.25">
      <c r="A285" s="347">
        <f t="shared" ca="1" si="122"/>
        <v>0.01</v>
      </c>
      <c r="B285" s="304">
        <f t="shared" ca="1" si="123"/>
        <v>2.8099999999999841</v>
      </c>
      <c r="D285" s="306">
        <f t="shared" ca="1" si="124"/>
        <v>6.2203723409269216</v>
      </c>
      <c r="E285" s="307">
        <f t="shared" ca="1" si="125"/>
        <v>43.770536144168446</v>
      </c>
      <c r="F285" s="304">
        <f t="shared" ca="1" si="126"/>
        <v>44.210325337049092</v>
      </c>
      <c r="G285" s="306">
        <f t="shared" ca="1" si="127"/>
        <v>21.178993735838162</v>
      </c>
      <c r="H285" s="307">
        <f t="shared" ca="1" si="128"/>
        <v>182.33178958939001</v>
      </c>
      <c r="I285" s="304">
        <f t="shared" ca="1" si="129"/>
        <v>183.55770556021957</v>
      </c>
      <c r="J285" s="306">
        <f t="shared" ca="1" si="130"/>
        <v>29.798958108715745</v>
      </c>
      <c r="K285" s="307">
        <f t="shared" ca="1" si="131"/>
        <v>274.84209925358698</v>
      </c>
      <c r="L285" s="304">
        <f t="shared" ca="1" si="116"/>
        <v>276.45281229621008</v>
      </c>
      <c r="M285" s="306">
        <f t="shared" ca="1" si="132"/>
        <v>1.4551582011573796</v>
      </c>
      <c r="N285" s="304">
        <f t="shared" ca="1" si="133"/>
        <v>83.374423450166717</v>
      </c>
      <c r="P285" s="310">
        <f t="shared" ca="1" si="134"/>
        <v>9</v>
      </c>
      <c r="Q285" s="304">
        <f t="shared" ca="1" si="135"/>
        <v>768.6250000000033</v>
      </c>
      <c r="R285" s="306">
        <f t="shared" ca="1" si="136"/>
        <v>0.38502905901894208</v>
      </c>
      <c r="S285" s="307">
        <f t="shared" ca="1" si="137"/>
        <v>11.169858065403888</v>
      </c>
      <c r="T285" s="304">
        <f t="shared" ca="1" si="117"/>
        <v>109.57630762161214</v>
      </c>
      <c r="U285" s="311">
        <f t="shared" ca="1" si="118"/>
        <v>0</v>
      </c>
      <c r="V285" s="306">
        <f t="shared" ca="1" si="119"/>
        <v>1.1917882423017205</v>
      </c>
      <c r="W285" s="304">
        <f t="shared" ca="1" si="120"/>
        <v>166.89081011767166</v>
      </c>
      <c r="Y285" s="314" t="str">
        <f t="shared" ca="1" si="138"/>
        <v/>
      </c>
      <c r="Z285" s="315" t="str">
        <f t="shared" ca="1" si="139"/>
        <v/>
      </c>
      <c r="AA285" s="316" t="str">
        <f t="shared" ca="1" si="140"/>
        <v/>
      </c>
      <c r="AC285" s="310" t="e">
        <f t="shared" ca="1" si="141"/>
        <v>#N/A</v>
      </c>
      <c r="AD285" s="323" t="e">
        <f t="shared" ca="1" si="142"/>
        <v>#N/A</v>
      </c>
      <c r="AE285" s="324">
        <f t="shared" ca="1" si="121"/>
        <v>274.84209925358698</v>
      </c>
      <c r="AG285" s="306">
        <f t="shared" ca="1" si="143"/>
        <v>44.195848961690203</v>
      </c>
      <c r="AH285" s="304">
        <f t="shared" ca="1" si="144"/>
        <v>53.940401236515754</v>
      </c>
    </row>
    <row r="286" spans="1:34" x14ac:dyDescent="0.25">
      <c r="A286" s="347">
        <f t="shared" ca="1" si="122"/>
        <v>0.01</v>
      </c>
      <c r="B286" s="304">
        <f t="shared" ca="1" si="123"/>
        <v>2.8199999999999839</v>
      </c>
      <c r="D286" s="306">
        <f t="shared" ca="1" si="124"/>
        <v>6.1966501196256916</v>
      </c>
      <c r="E286" s="307">
        <f t="shared" ca="1" si="125"/>
        <v>43.537497046509031</v>
      </c>
      <c r="F286" s="304">
        <f t="shared" ca="1" si="126"/>
        <v>43.976267710889701</v>
      </c>
      <c r="G286" s="306">
        <f t="shared" ca="1" si="127"/>
        <v>21.240960237034418</v>
      </c>
      <c r="H286" s="307">
        <f t="shared" ca="1" si="128"/>
        <v>182.7671645598551</v>
      </c>
      <c r="I286" s="304">
        <f t="shared" ca="1" si="129"/>
        <v>183.9973228963955</v>
      </c>
      <c r="J286" s="306">
        <f t="shared" ca="1" si="130"/>
        <v>30.011057878580107</v>
      </c>
      <c r="K286" s="307">
        <f t="shared" ca="1" si="131"/>
        <v>276.6675940243332</v>
      </c>
      <c r="L286" s="304">
        <f t="shared" ca="1" si="116"/>
        <v>278.29053375600961</v>
      </c>
      <c r="M286" s="306">
        <f t="shared" ca="1" si="132"/>
        <v>1.4550966848575662</v>
      </c>
      <c r="N286" s="304">
        <f t="shared" ca="1" si="133"/>
        <v>83.370898825816141</v>
      </c>
      <c r="P286" s="310">
        <f t="shared" ca="1" si="134"/>
        <v>9</v>
      </c>
      <c r="Q286" s="304">
        <f t="shared" ca="1" si="135"/>
        <v>766.57500000000334</v>
      </c>
      <c r="R286" s="306">
        <f t="shared" ca="1" si="136"/>
        <v>0.38400214788413795</v>
      </c>
      <c r="S286" s="307">
        <f t="shared" ca="1" si="137"/>
        <v>11.166018043925046</v>
      </c>
      <c r="T286" s="304">
        <f t="shared" ca="1" si="117"/>
        <v>109.53863701090471</v>
      </c>
      <c r="U286" s="311">
        <f t="shared" ca="1" si="118"/>
        <v>0</v>
      </c>
      <c r="V286" s="306">
        <f t="shared" ca="1" si="119"/>
        <v>1.1915706604787772</v>
      </c>
      <c r="W286" s="304">
        <f t="shared" ca="1" si="120"/>
        <v>167.66055328718434</v>
      </c>
      <c r="Y286" s="314" t="str">
        <f t="shared" ca="1" si="138"/>
        <v/>
      </c>
      <c r="Z286" s="315" t="str">
        <f t="shared" ca="1" si="139"/>
        <v/>
      </c>
      <c r="AA286" s="316" t="str">
        <f t="shared" ca="1" si="140"/>
        <v/>
      </c>
      <c r="AC286" s="310" t="e">
        <f t="shared" ca="1" si="141"/>
        <v>#N/A</v>
      </c>
      <c r="AD286" s="323" t="e">
        <f t="shared" ca="1" si="142"/>
        <v>#N/A</v>
      </c>
      <c r="AE286" s="324">
        <f t="shared" ca="1" si="121"/>
        <v>276.6675940243332</v>
      </c>
      <c r="AG286" s="306">
        <f t="shared" ca="1" si="143"/>
        <v>43.961698802953016</v>
      </c>
      <c r="AH286" s="304">
        <f t="shared" ca="1" si="144"/>
        <v>53.706181337275758</v>
      </c>
    </row>
    <row r="287" spans="1:34" x14ac:dyDescent="0.25">
      <c r="A287" s="347">
        <f t="shared" ca="1" si="122"/>
        <v>0.01</v>
      </c>
      <c r="B287" s="304">
        <f t="shared" ca="1" si="123"/>
        <v>2.8299999999999836</v>
      </c>
      <c r="D287" s="306">
        <f t="shared" ca="1" si="124"/>
        <v>6.1728966758787731</v>
      </c>
      <c r="E287" s="307">
        <f t="shared" ca="1" si="125"/>
        <v>43.304492470272315</v>
      </c>
      <c r="F287" s="304">
        <f t="shared" ca="1" si="126"/>
        <v>43.742241843313735</v>
      </c>
      <c r="G287" s="306">
        <f t="shared" ca="1" si="127"/>
        <v>21.302689203793207</v>
      </c>
      <c r="H287" s="307">
        <f t="shared" ca="1" si="128"/>
        <v>183.20020948455783</v>
      </c>
      <c r="I287" s="304">
        <f t="shared" ca="1" si="129"/>
        <v>184.43459903851902</v>
      </c>
      <c r="J287" s="306">
        <f t="shared" ca="1" si="130"/>
        <v>30.223776125784244</v>
      </c>
      <c r="K287" s="307">
        <f t="shared" ca="1" si="131"/>
        <v>278.49743089455524</v>
      </c>
      <c r="L287" s="304">
        <f t="shared" ca="1" si="116"/>
        <v>280.13263940171112</v>
      </c>
      <c r="M287" s="306">
        <f t="shared" ca="1" si="132"/>
        <v>1.4550352819051762</v>
      </c>
      <c r="N287" s="304">
        <f t="shared" ca="1" si="133"/>
        <v>83.367380695794552</v>
      </c>
      <c r="P287" s="310">
        <f t="shared" ca="1" si="134"/>
        <v>9</v>
      </c>
      <c r="Q287" s="304">
        <f t="shared" ca="1" si="135"/>
        <v>764.52500000000339</v>
      </c>
      <c r="R287" s="306">
        <f t="shared" ca="1" si="136"/>
        <v>0.38297523674933381</v>
      </c>
      <c r="S287" s="307">
        <f t="shared" ca="1" si="137"/>
        <v>11.162188291557552</v>
      </c>
      <c r="T287" s="304">
        <f t="shared" ca="1" si="117"/>
        <v>109.50106714017959</v>
      </c>
      <c r="U287" s="311">
        <f t="shared" ca="1" si="118"/>
        <v>0</v>
      </c>
      <c r="V287" s="306">
        <f t="shared" ca="1" si="119"/>
        <v>1.1913526004322126</v>
      </c>
      <c r="W287" s="304">
        <f t="shared" ca="1" si="120"/>
        <v>168.42757442642883</v>
      </c>
      <c r="Y287" s="314" t="str">
        <f t="shared" ca="1" si="138"/>
        <v/>
      </c>
      <c r="Z287" s="315" t="str">
        <f t="shared" ca="1" si="139"/>
        <v/>
      </c>
      <c r="AA287" s="316" t="str">
        <f t="shared" ca="1" si="140"/>
        <v/>
      </c>
      <c r="AC287" s="310" t="e">
        <f t="shared" ca="1" si="141"/>
        <v>#N/A</v>
      </c>
      <c r="AD287" s="323" t="e">
        <f t="shared" ca="1" si="142"/>
        <v>#N/A</v>
      </c>
      <c r="AE287" s="324">
        <f t="shared" ca="1" si="121"/>
        <v>278.49743089455524</v>
      </c>
      <c r="AG287" s="306">
        <f t="shared" ca="1" si="143"/>
        <v>43.727579443453656</v>
      </c>
      <c r="AH287" s="304">
        <f t="shared" ca="1" si="144"/>
        <v>53.471992330057141</v>
      </c>
    </row>
    <row r="288" spans="1:34" x14ac:dyDescent="0.25">
      <c r="A288" s="347">
        <f t="shared" ca="1" si="122"/>
        <v>0.01</v>
      </c>
      <c r="B288" s="304">
        <f t="shared" ca="1" si="123"/>
        <v>2.8399999999999834</v>
      </c>
      <c r="D288" s="306">
        <f t="shared" ca="1" si="124"/>
        <v>6.1527734145370507</v>
      </c>
      <c r="E288" s="307">
        <f t="shared" ca="1" si="125"/>
        <v>43.103008666224888</v>
      </c>
      <c r="F288" s="304">
        <f t="shared" ca="1" si="126"/>
        <v>43.539935424519079</v>
      </c>
      <c r="G288" s="306">
        <f t="shared" ca="1" si="127"/>
        <v>21.364216937938579</v>
      </c>
      <c r="H288" s="307">
        <f t="shared" ca="1" si="128"/>
        <v>183.63123957122008</v>
      </c>
      <c r="I288" s="304">
        <f t="shared" ca="1" si="129"/>
        <v>184.86985127876889</v>
      </c>
      <c r="J288" s="306">
        <f t="shared" ca="1" si="130"/>
        <v>30.437110656492905</v>
      </c>
      <c r="K288" s="307">
        <f t="shared" ca="1" si="131"/>
        <v>280.33158813983414</v>
      </c>
      <c r="L288" s="304">
        <f t="shared" ca="1" si="116"/>
        <v>281.97910740712189</v>
      </c>
      <c r="M288" s="306">
        <f t="shared" ca="1" si="132"/>
        <v>1.4549739911529995</v>
      </c>
      <c r="N288" s="304">
        <f t="shared" ca="1" si="133"/>
        <v>83.363868994371657</v>
      </c>
      <c r="P288" s="310">
        <f t="shared" ca="1" si="134"/>
        <v>10</v>
      </c>
      <c r="Q288" s="304">
        <f t="shared" ca="1" si="135"/>
        <v>762.8285714285737</v>
      </c>
      <c r="R288" s="306">
        <f t="shared" ca="1" si="136"/>
        <v>0.38212544094962603</v>
      </c>
      <c r="S288" s="307">
        <f t="shared" ca="1" si="137"/>
        <v>11.158367037148055</v>
      </c>
      <c r="T288" s="304">
        <f t="shared" ca="1" si="117"/>
        <v>109.46358063442243</v>
      </c>
      <c r="U288" s="311">
        <f t="shared" ca="1" si="118"/>
        <v>0</v>
      </c>
      <c r="V288" s="306">
        <f t="shared" ca="1" si="119"/>
        <v>1.1911340650197135</v>
      </c>
      <c r="W288" s="304">
        <f t="shared" ca="1" si="120"/>
        <v>169.19242463892829</v>
      </c>
      <c r="Y288" s="314" t="str">
        <f t="shared" ca="1" si="138"/>
        <v/>
      </c>
      <c r="Z288" s="315" t="str">
        <f t="shared" ca="1" si="139"/>
        <v/>
      </c>
      <c r="AA288" s="316" t="str">
        <f t="shared" ca="1" si="140"/>
        <v/>
      </c>
      <c r="AC288" s="310" t="e">
        <f t="shared" ca="1" si="141"/>
        <v>#N/A</v>
      </c>
      <c r="AD288" s="323" t="e">
        <f t="shared" ca="1" si="142"/>
        <v>#N/A</v>
      </c>
      <c r="AE288" s="324">
        <f t="shared" ca="1" si="121"/>
        <v>280.33158813983414</v>
      </c>
      <c r="AG288" s="306">
        <f t="shared" ca="1" si="143"/>
        <v>43.52518930128619</v>
      </c>
      <c r="AH288" s="304">
        <f t="shared" ca="1" si="144"/>
        <v>53.269532631726968</v>
      </c>
    </row>
    <row r="289" spans="1:34" x14ac:dyDescent="0.25">
      <c r="A289" s="347">
        <f t="shared" ca="1" si="122"/>
        <v>0.01</v>
      </c>
      <c r="B289" s="304">
        <f t="shared" ca="1" si="123"/>
        <v>2.8499999999999832</v>
      </c>
      <c r="D289" s="306">
        <f t="shared" ca="1" si="124"/>
        <v>6.1362853572528584</v>
      </c>
      <c r="E289" s="307">
        <f t="shared" ca="1" si="125"/>
        <v>42.933037097422115</v>
      </c>
      <c r="F289" s="304">
        <f t="shared" ca="1" si="126"/>
        <v>43.369340234712581</v>
      </c>
      <c r="G289" s="306">
        <f t="shared" ca="1" si="127"/>
        <v>21.425579791511108</v>
      </c>
      <c r="H289" s="307">
        <f t="shared" ca="1" si="128"/>
        <v>184.06056994219429</v>
      </c>
      <c r="I289" s="304">
        <f t="shared" ca="1" si="129"/>
        <v>185.30339683030047</v>
      </c>
      <c r="J289" s="306">
        <f t="shared" ca="1" si="130"/>
        <v>30.651059640140154</v>
      </c>
      <c r="K289" s="307">
        <f t="shared" ca="1" si="131"/>
        <v>282.17004718740122</v>
      </c>
      <c r="L289" s="304">
        <f t="shared" ca="1" si="116"/>
        <v>283.82991911848137</v>
      </c>
      <c r="M289" s="306">
        <f t="shared" ca="1" si="132"/>
        <v>1.454912811569713</v>
      </c>
      <c r="N289" s="304">
        <f t="shared" ca="1" si="133"/>
        <v>83.360363662456962</v>
      </c>
      <c r="P289" s="310">
        <f t="shared" ca="1" si="134"/>
        <v>10</v>
      </c>
      <c r="Q289" s="304">
        <f t="shared" ca="1" si="135"/>
        <v>761.48571428571654</v>
      </c>
      <c r="R289" s="306">
        <f t="shared" ca="1" si="136"/>
        <v>0.38145276048501564</v>
      </c>
      <c r="S289" s="307">
        <f t="shared" ca="1" si="137"/>
        <v>11.154552509543205</v>
      </c>
      <c r="T289" s="304">
        <f t="shared" ca="1" si="117"/>
        <v>109.42616011861884</v>
      </c>
      <c r="U289" s="311">
        <f t="shared" ca="1" si="118"/>
        <v>0</v>
      </c>
      <c r="V289" s="306">
        <f t="shared" ca="1" si="119"/>
        <v>1.1909150567221971</v>
      </c>
      <c r="W289" s="304">
        <f t="shared" ca="1" si="120"/>
        <v>169.9556600417533</v>
      </c>
      <c r="Y289" s="314" t="str">
        <f t="shared" ca="1" si="138"/>
        <v/>
      </c>
      <c r="Z289" s="315" t="str">
        <f t="shared" ca="1" si="139"/>
        <v/>
      </c>
      <c r="AA289" s="316" t="str">
        <f t="shared" ca="1" si="140"/>
        <v/>
      </c>
      <c r="AC289" s="310" t="e">
        <f t="shared" ca="1" si="141"/>
        <v>#N/A</v>
      </c>
      <c r="AD289" s="323" t="e">
        <f t="shared" ca="1" si="142"/>
        <v>#N/A</v>
      </c>
      <c r="AE289" s="324">
        <f t="shared" ca="1" si="121"/>
        <v>282.17004718740122</v>
      </c>
      <c r="AG289" s="306">
        <f t="shared" ca="1" si="143"/>
        <v>43.354520474170528</v>
      </c>
      <c r="AH289" s="304">
        <f t="shared" ca="1" si="144"/>
        <v>53.098794338908313</v>
      </c>
    </row>
    <row r="290" spans="1:34" x14ac:dyDescent="0.25">
      <c r="A290" s="347">
        <f t="shared" ca="1" si="122"/>
        <v>0.01</v>
      </c>
      <c r="B290" s="304">
        <f t="shared" ca="1" si="123"/>
        <v>2.859999999999983</v>
      </c>
      <c r="D290" s="306">
        <f t="shared" ca="1" si="124"/>
        <v>6.1197701891363705</v>
      </c>
      <c r="E290" s="307">
        <f t="shared" ca="1" si="125"/>
        <v>42.763064527942284</v>
      </c>
      <c r="F290" s="304">
        <f t="shared" ca="1" si="126"/>
        <v>43.198741590337995</v>
      </c>
      <c r="G290" s="306">
        <f t="shared" ca="1" si="127"/>
        <v>21.486777493402471</v>
      </c>
      <c r="H290" s="307">
        <f t="shared" ca="1" si="128"/>
        <v>184.48820058747373</v>
      </c>
      <c r="I290" s="304">
        <f t="shared" ca="1" si="129"/>
        <v>185.73523565294477</v>
      </c>
      <c r="J290" s="306">
        <f t="shared" ca="1" si="130"/>
        <v>30.865621426564722</v>
      </c>
      <c r="K290" s="307">
        <f t="shared" ca="1" si="131"/>
        <v>284.01279104004959</v>
      </c>
      <c r="L290" s="304">
        <f t="shared" ca="1" si="116"/>
        <v>285.68505746784672</v>
      </c>
      <c r="M290" s="306">
        <f t="shared" ca="1" si="132"/>
        <v>1.4548517421337244</v>
      </c>
      <c r="N290" s="304">
        <f t="shared" ca="1" si="133"/>
        <v>83.356864641517575</v>
      </c>
      <c r="P290" s="310">
        <f t="shared" ca="1" si="134"/>
        <v>10</v>
      </c>
      <c r="Q290" s="304">
        <f t="shared" ca="1" si="135"/>
        <v>760.14285714285938</v>
      </c>
      <c r="R290" s="306">
        <f t="shared" ca="1" si="136"/>
        <v>0.38078008002040525</v>
      </c>
      <c r="S290" s="307">
        <f t="shared" ca="1" si="137"/>
        <v>11.150744708743</v>
      </c>
      <c r="T290" s="304">
        <f t="shared" ca="1" si="117"/>
        <v>109.38880559276883</v>
      </c>
      <c r="U290" s="311">
        <f t="shared" ca="1" si="118"/>
        <v>0</v>
      </c>
      <c r="V290" s="306">
        <f t="shared" ca="1" si="119"/>
        <v>1.190695577831844</v>
      </c>
      <c r="W290" s="304">
        <f t="shared" ca="1" si="120"/>
        <v>170.71725866607062</v>
      </c>
      <c r="Y290" s="314" t="str">
        <f t="shared" ca="1" si="138"/>
        <v/>
      </c>
      <c r="Z290" s="315" t="str">
        <f t="shared" ca="1" si="139"/>
        <v/>
      </c>
      <c r="AA290" s="316" t="str">
        <f t="shared" ca="1" si="140"/>
        <v/>
      </c>
      <c r="AC290" s="310" t="e">
        <f t="shared" ca="1" si="141"/>
        <v>#N/A</v>
      </c>
      <c r="AD290" s="323" t="e">
        <f t="shared" ca="1" si="142"/>
        <v>#N/A</v>
      </c>
      <c r="AE290" s="324">
        <f t="shared" ca="1" si="121"/>
        <v>284.01279104004959</v>
      </c>
      <c r="AG290" s="306">
        <f t="shared" ca="1" si="143"/>
        <v>43.183847629675242</v>
      </c>
      <c r="AH290" s="304">
        <f t="shared" ca="1" si="144"/>
        <v>52.928052118201229</v>
      </c>
    </row>
    <row r="291" spans="1:34" x14ac:dyDescent="0.25">
      <c r="A291" s="347">
        <f t="shared" ca="1" si="122"/>
        <v>0.01</v>
      </c>
      <c r="B291" s="304">
        <f t="shared" ca="1" si="123"/>
        <v>2.8699999999999828</v>
      </c>
      <c r="D291" s="306">
        <f t="shared" ca="1" si="124"/>
        <v>6.1032282831930234</v>
      </c>
      <c r="E291" s="307">
        <f t="shared" ca="1" si="125"/>
        <v>42.593093208676308</v>
      </c>
      <c r="F291" s="304">
        <f t="shared" ca="1" si="126"/>
        <v>43.028141774421947</v>
      </c>
      <c r="G291" s="306">
        <f t="shared" ca="1" si="127"/>
        <v>21.547809776234402</v>
      </c>
      <c r="H291" s="307">
        <f t="shared" ca="1" si="128"/>
        <v>184.9141315195605</v>
      </c>
      <c r="I291" s="304">
        <f t="shared" ca="1" si="129"/>
        <v>186.16536772930164</v>
      </c>
      <c r="J291" s="306">
        <f t="shared" ca="1" si="130"/>
        <v>31.080794362912908</v>
      </c>
      <c r="K291" s="307">
        <f t="shared" ca="1" si="131"/>
        <v>285.85980270058474</v>
      </c>
      <c r="L291" s="304">
        <f t="shared" ca="1" si="116"/>
        <v>287.54450538698688</v>
      </c>
      <c r="M291" s="306">
        <f t="shared" ca="1" si="132"/>
        <v>1.4547907818330381</v>
      </c>
      <c r="N291" s="304">
        <f t="shared" ca="1" si="133"/>
        <v>83.353371873570396</v>
      </c>
      <c r="P291" s="310">
        <f t="shared" ca="1" si="134"/>
        <v>10</v>
      </c>
      <c r="Q291" s="304">
        <f t="shared" ca="1" si="135"/>
        <v>758.80000000000234</v>
      </c>
      <c r="R291" s="306">
        <f t="shared" ca="1" si="136"/>
        <v>0.38010739955579492</v>
      </c>
      <c r="S291" s="307">
        <f t="shared" ca="1" si="137"/>
        <v>11.146943634747442</v>
      </c>
      <c r="T291" s="304">
        <f t="shared" ca="1" si="117"/>
        <v>109.35151705687241</v>
      </c>
      <c r="U291" s="311">
        <f t="shared" ca="1" si="118"/>
        <v>0</v>
      </c>
      <c r="V291" s="306">
        <f t="shared" ca="1" si="119"/>
        <v>1.1904756306398607</v>
      </c>
      <c r="W291" s="304">
        <f t="shared" ca="1" si="120"/>
        <v>171.47719869601335</v>
      </c>
      <c r="Y291" s="314" t="str">
        <f t="shared" ca="1" si="138"/>
        <v/>
      </c>
      <c r="Z291" s="315" t="str">
        <f t="shared" ca="1" si="139"/>
        <v/>
      </c>
      <c r="AA291" s="316" t="str">
        <f t="shared" ca="1" si="140"/>
        <v/>
      </c>
      <c r="AC291" s="310" t="e">
        <f t="shared" ca="1" si="141"/>
        <v>#N/A</v>
      </c>
      <c r="AD291" s="323" t="e">
        <f t="shared" ca="1" si="142"/>
        <v>#N/A</v>
      </c>
      <c r="AE291" s="324">
        <f t="shared" ca="1" si="121"/>
        <v>285.85980270058474</v>
      </c>
      <c r="AG291" s="306">
        <f t="shared" ca="1" si="143"/>
        <v>43.013173044686013</v>
      </c>
      <c r="AH291" s="304">
        <f t="shared" ca="1" si="144"/>
        <v>52.757308245531107</v>
      </c>
    </row>
    <row r="292" spans="1:34" x14ac:dyDescent="0.25">
      <c r="A292" s="347">
        <f t="shared" ca="1" si="122"/>
        <v>0.01</v>
      </c>
      <c r="B292" s="304">
        <f t="shared" ca="1" si="123"/>
        <v>2.8799999999999826</v>
      </c>
      <c r="D292" s="306">
        <f t="shared" ca="1" si="124"/>
        <v>6.0866600105562743</v>
      </c>
      <c r="E292" s="307">
        <f t="shared" ca="1" si="125"/>
        <v>42.423125380019037</v>
      </c>
      <c r="F292" s="304">
        <f t="shared" ca="1" si="126"/>
        <v>42.857543059453612</v>
      </c>
      <c r="G292" s="306">
        <f t="shared" ca="1" si="127"/>
        <v>21.608676376339965</v>
      </c>
      <c r="H292" s="307">
        <f t="shared" ca="1" si="128"/>
        <v>185.3383627733607</v>
      </c>
      <c r="I292" s="304">
        <f t="shared" ca="1" si="129"/>
        <v>186.59379306463345</v>
      </c>
      <c r="J292" s="306">
        <f t="shared" ca="1" si="130"/>
        <v>31.296576793675779</v>
      </c>
      <c r="K292" s="307">
        <f t="shared" ca="1" si="131"/>
        <v>287.71106517204936</v>
      </c>
      <c r="L292" s="304">
        <f t="shared" ca="1" si="116"/>
        <v>289.40824580760943</v>
      </c>
      <c r="M292" s="306">
        <f t="shared" ca="1" si="132"/>
        <v>1.454729929665125</v>
      </c>
      <c r="N292" s="304">
        <f t="shared" ca="1" si="133"/>
        <v>83.349885301174766</v>
      </c>
      <c r="P292" s="310">
        <f t="shared" ca="1" si="134"/>
        <v>10</v>
      </c>
      <c r="Q292" s="304">
        <f t="shared" ca="1" si="135"/>
        <v>757.45714285714519</v>
      </c>
      <c r="R292" s="306">
        <f t="shared" ca="1" si="136"/>
        <v>0.37943471909118454</v>
      </c>
      <c r="S292" s="307">
        <f t="shared" ca="1" si="137"/>
        <v>11.143149287556531</v>
      </c>
      <c r="T292" s="304">
        <f t="shared" ca="1" si="117"/>
        <v>109.31429451092957</v>
      </c>
      <c r="U292" s="311">
        <f t="shared" ca="1" si="118"/>
        <v>0</v>
      </c>
      <c r="V292" s="306">
        <f t="shared" ca="1" si="119"/>
        <v>1.1902552174364505</v>
      </c>
      <c r="W292" s="304">
        <f t="shared" ca="1" si="120"/>
        <v>172.23545846891005</v>
      </c>
      <c r="Y292" s="314" t="str">
        <f t="shared" ca="1" si="138"/>
        <v/>
      </c>
      <c r="Z292" s="315" t="str">
        <f t="shared" ca="1" si="139"/>
        <v/>
      </c>
      <c r="AA292" s="316" t="str">
        <f t="shared" ca="1" si="140"/>
        <v/>
      </c>
      <c r="AC292" s="310" t="e">
        <f t="shared" ca="1" si="141"/>
        <v>#N/A</v>
      </c>
      <c r="AD292" s="323" t="e">
        <f t="shared" ca="1" si="142"/>
        <v>#N/A</v>
      </c>
      <c r="AE292" s="324">
        <f t="shared" ca="1" si="121"/>
        <v>287.71106517204936</v>
      </c>
      <c r="AG292" s="306">
        <f t="shared" ca="1" si="143"/>
        <v>42.842498985467152</v>
      </c>
      <c r="AH292" s="304">
        <f t="shared" ca="1" si="144"/>
        <v>52.586564986210057</v>
      </c>
    </row>
    <row r="293" spans="1:34" x14ac:dyDescent="0.25">
      <c r="A293" s="347">
        <f t="shared" ca="1" si="122"/>
        <v>0.01</v>
      </c>
      <c r="B293" s="304">
        <f t="shared" ca="1" si="123"/>
        <v>2.8899999999999824</v>
      </c>
      <c r="D293" s="306">
        <f t="shared" ca="1" si="124"/>
        <v>6.0700657404908078</v>
      </c>
      <c r="E293" s="307">
        <f t="shared" ca="1" si="125"/>
        <v>42.253163271816575</v>
      </c>
      <c r="F293" s="304">
        <f t="shared" ca="1" si="126"/>
        <v>42.686947707334021</v>
      </c>
      <c r="G293" s="306">
        <f t="shared" ca="1" si="127"/>
        <v>21.669377033744873</v>
      </c>
      <c r="H293" s="307">
        <f t="shared" ca="1" si="128"/>
        <v>185.76089440607888</v>
      </c>
      <c r="I293" s="304">
        <f t="shared" ca="1" si="129"/>
        <v>187.02051168675851</v>
      </c>
      <c r="J293" s="306">
        <f t="shared" ca="1" si="130"/>
        <v>31.512967060726204</v>
      </c>
      <c r="K293" s="307">
        <f t="shared" ca="1" si="131"/>
        <v>289.56656145794653</v>
      </c>
      <c r="L293" s="304">
        <f t="shared" ca="1" si="116"/>
        <v>291.27626166158677</v>
      </c>
      <c r="M293" s="306">
        <f t="shared" ca="1" si="132"/>
        <v>1.454669184636791</v>
      </c>
      <c r="N293" s="304">
        <f t="shared" ca="1" si="133"/>
        <v>83.346404867424809</v>
      </c>
      <c r="P293" s="310">
        <f t="shared" ca="1" si="134"/>
        <v>10</v>
      </c>
      <c r="Q293" s="304">
        <f t="shared" ca="1" si="135"/>
        <v>756.11428571428803</v>
      </c>
      <c r="R293" s="306">
        <f t="shared" ca="1" si="136"/>
        <v>0.37876203862657415</v>
      </c>
      <c r="S293" s="307">
        <f t="shared" ca="1" si="137"/>
        <v>11.139361667170265</v>
      </c>
      <c r="T293" s="304">
        <f t="shared" ca="1" si="117"/>
        <v>109.2771379549403</v>
      </c>
      <c r="U293" s="311">
        <f t="shared" ca="1" si="118"/>
        <v>0</v>
      </c>
      <c r="V293" s="306">
        <f t="shared" ca="1" si="119"/>
        <v>1.1900343405107721</v>
      </c>
      <c r="W293" s="304">
        <f t="shared" ca="1" si="120"/>
        <v>172.99201647550157</v>
      </c>
      <c r="Y293" s="314" t="str">
        <f t="shared" ca="1" si="138"/>
        <v/>
      </c>
      <c r="Z293" s="315" t="str">
        <f t="shared" ca="1" si="139"/>
        <v/>
      </c>
      <c r="AA293" s="316" t="str">
        <f t="shared" ca="1" si="140"/>
        <v/>
      </c>
      <c r="AC293" s="310" t="e">
        <f t="shared" ca="1" si="141"/>
        <v>#N/A</v>
      </c>
      <c r="AD293" s="323" t="e">
        <f t="shared" ca="1" si="142"/>
        <v>#N/A</v>
      </c>
      <c r="AE293" s="324">
        <f t="shared" ca="1" si="121"/>
        <v>289.56656145794653</v>
      </c>
      <c r="AG293" s="306">
        <f t="shared" ca="1" si="143"/>
        <v>42.671827707609367</v>
      </c>
      <c r="AH293" s="304">
        <f t="shared" ca="1" si="144"/>
        <v>52.415824594884612</v>
      </c>
    </row>
    <row r="294" spans="1:34" x14ac:dyDescent="0.25">
      <c r="A294" s="347">
        <f t="shared" ca="1" si="122"/>
        <v>0.01</v>
      </c>
      <c r="B294" s="304">
        <f t="shared" ca="1" si="123"/>
        <v>2.8999999999999821</v>
      </c>
      <c r="D294" s="306">
        <f t="shared" ca="1" si="124"/>
        <v>6.053445840395824</v>
      </c>
      <c r="E294" s="307">
        <f t="shared" ca="1" si="125"/>
        <v>42.083209103314609</v>
      </c>
      <c r="F294" s="304">
        <f t="shared" ca="1" si="126"/>
        <v>42.516357969326428</v>
      </c>
      <c r="G294" s="306">
        <f t="shared" ca="1" si="127"/>
        <v>21.72991149214883</v>
      </c>
      <c r="H294" s="307">
        <f t="shared" ca="1" si="128"/>
        <v>186.18172649711201</v>
      </c>
      <c r="I294" s="304">
        <f t="shared" ca="1" si="129"/>
        <v>187.44552364594369</v>
      </c>
      <c r="J294" s="306">
        <f t="shared" ca="1" si="130"/>
        <v>31.729963503355673</v>
      </c>
      <c r="K294" s="307">
        <f t="shared" ca="1" si="131"/>
        <v>291.42627456246248</v>
      </c>
      <c r="L294" s="304">
        <f t="shared" ca="1" si="116"/>
        <v>293.14853588118098</v>
      </c>
      <c r="M294" s="306">
        <f t="shared" ca="1" si="132"/>
        <v>1.4546085457640503</v>
      </c>
      <c r="N294" s="304">
        <f t="shared" ca="1" si="133"/>
        <v>83.342930515942342</v>
      </c>
      <c r="P294" s="310">
        <f t="shared" ca="1" si="134"/>
        <v>10</v>
      </c>
      <c r="Q294" s="304">
        <f t="shared" ca="1" si="135"/>
        <v>754.77142857143099</v>
      </c>
      <c r="R294" s="306">
        <f t="shared" ca="1" si="136"/>
        <v>0.37808935816196387</v>
      </c>
      <c r="S294" s="307">
        <f t="shared" ca="1" si="137"/>
        <v>11.135580773588645</v>
      </c>
      <c r="T294" s="304">
        <f t="shared" ca="1" si="117"/>
        <v>109.24004738890461</v>
      </c>
      <c r="U294" s="311">
        <f t="shared" ca="1" si="118"/>
        <v>0</v>
      </c>
      <c r="V294" s="306">
        <f t="shared" ca="1" si="119"/>
        <v>1.1898130021509086</v>
      </c>
      <c r="W294" s="304">
        <f t="shared" ca="1" si="120"/>
        <v>173.74685136014742</v>
      </c>
      <c r="Y294" s="314" t="str">
        <f t="shared" ca="1" si="138"/>
        <v/>
      </c>
      <c r="Z294" s="315" t="str">
        <f t="shared" ca="1" si="139"/>
        <v/>
      </c>
      <c r="AA294" s="316" t="str">
        <f t="shared" ca="1" si="140"/>
        <v/>
      </c>
      <c r="AC294" s="310" t="e">
        <f t="shared" ca="1" si="141"/>
        <v>#N/A</v>
      </c>
      <c r="AD294" s="323" t="e">
        <f t="shared" ca="1" si="142"/>
        <v>#N/A</v>
      </c>
      <c r="AE294" s="324">
        <f t="shared" ca="1" si="121"/>
        <v>291.42627456246248</v>
      </c>
      <c r="AG294" s="306">
        <f t="shared" ca="1" si="143"/>
        <v>42.50116145597859</v>
      </c>
      <c r="AH294" s="304">
        <f t="shared" ca="1" si="144"/>
        <v>52.245089315484378</v>
      </c>
    </row>
    <row r="295" spans="1:34" x14ac:dyDescent="0.25">
      <c r="A295" s="347">
        <f t="shared" ca="1" si="122"/>
        <v>0.01</v>
      </c>
      <c r="B295" s="304">
        <f t="shared" ca="1" si="123"/>
        <v>2.9099999999999819</v>
      </c>
      <c r="D295" s="306">
        <f t="shared" ca="1" si="124"/>
        <v>6.0368006758081014</v>
      </c>
      <c r="E295" s="307">
        <f t="shared" ca="1" si="125"/>
        <v>41.913265083107788</v>
      </c>
      <c r="F295" s="304">
        <f t="shared" ca="1" si="126"/>
        <v>42.345776086007682</v>
      </c>
      <c r="G295" s="306">
        <f t="shared" ca="1" si="127"/>
        <v>21.790279498906912</v>
      </c>
      <c r="H295" s="307">
        <f t="shared" ca="1" si="128"/>
        <v>186.60085914794308</v>
      </c>
      <c r="I295" s="304">
        <f t="shared" ca="1" si="129"/>
        <v>187.86882901479686</v>
      </c>
      <c r="J295" s="306">
        <f t="shared" ca="1" si="130"/>
        <v>31.947564458310953</v>
      </c>
      <c r="K295" s="307">
        <f t="shared" ca="1" si="131"/>
        <v>293.29018749068774</v>
      </c>
      <c r="L295" s="304">
        <f t="shared" ca="1" si="116"/>
        <v>295.02505139926797</v>
      </c>
      <c r="M295" s="306">
        <f t="shared" ca="1" si="132"/>
        <v>1.4545480120720009</v>
      </c>
      <c r="N295" s="304">
        <f t="shared" ca="1" si="133"/>
        <v>83.339462190869568</v>
      </c>
      <c r="P295" s="310">
        <f t="shared" ca="1" si="134"/>
        <v>10</v>
      </c>
      <c r="Q295" s="304">
        <f t="shared" ca="1" si="135"/>
        <v>753.42857142857383</v>
      </c>
      <c r="R295" s="306">
        <f t="shared" ca="1" si="136"/>
        <v>0.37741667769735349</v>
      </c>
      <c r="S295" s="307">
        <f t="shared" ca="1" si="137"/>
        <v>11.13180660681167</v>
      </c>
      <c r="T295" s="304">
        <f t="shared" ca="1" si="117"/>
        <v>109.2030228128225</v>
      </c>
      <c r="U295" s="311">
        <f t="shared" ca="1" si="118"/>
        <v>0</v>
      </c>
      <c r="V295" s="306">
        <f t="shared" ca="1" si="119"/>
        <v>1.1895912046438322</v>
      </c>
      <c r="W295" s="304">
        <f t="shared" ca="1" si="120"/>
        <v>174.49994192102065</v>
      </c>
      <c r="Y295" s="314" t="str">
        <f t="shared" ca="1" si="138"/>
        <v/>
      </c>
      <c r="Z295" s="315" t="str">
        <f t="shared" ca="1" si="139"/>
        <v/>
      </c>
      <c r="AA295" s="316" t="str">
        <f t="shared" ca="1" si="140"/>
        <v/>
      </c>
      <c r="AC295" s="310" t="e">
        <f t="shared" ca="1" si="141"/>
        <v>#N/A</v>
      </c>
      <c r="AD295" s="323" t="e">
        <f t="shared" ca="1" si="142"/>
        <v>#N/A</v>
      </c>
      <c r="AE295" s="324">
        <f t="shared" ca="1" si="121"/>
        <v>293.29018749068774</v>
      </c>
      <c r="AG295" s="306">
        <f t="shared" ca="1" si="143"/>
        <v>42.330502464665756</v>
      </c>
      <c r="AH295" s="304">
        <f t="shared" ca="1" si="144"/>
        <v>52.074361381171776</v>
      </c>
    </row>
    <row r="296" spans="1:34" x14ac:dyDescent="0.25">
      <c r="A296" s="347">
        <f t="shared" ca="1" si="122"/>
        <v>0.01</v>
      </c>
      <c r="B296" s="304">
        <f t="shared" ca="1" si="123"/>
        <v>2.9199999999999817</v>
      </c>
      <c r="D296" s="306">
        <f t="shared" ca="1" si="124"/>
        <v>6.0201306104050207</v>
      </c>
      <c r="E296" s="307">
        <f t="shared" ca="1" si="125"/>
        <v>41.743333409090013</v>
      </c>
      <c r="F296" s="304">
        <f t="shared" ca="1" si="126"/>
        <v>42.175204287220545</v>
      </c>
      <c r="G296" s="306">
        <f t="shared" ca="1" si="127"/>
        <v>21.850480805010964</v>
      </c>
      <c r="H296" s="307">
        <f t="shared" ca="1" si="128"/>
        <v>187.01829248203398</v>
      </c>
      <c r="I296" s="304">
        <f t="shared" ca="1" si="129"/>
        <v>188.29042788815835</v>
      </c>
      <c r="J296" s="306">
        <f t="shared" ca="1" si="130"/>
        <v>32.165768259830543</v>
      </c>
      <c r="K296" s="307">
        <f t="shared" ca="1" si="131"/>
        <v>295.15828324883762</v>
      </c>
      <c r="L296" s="304">
        <f t="shared" ca="1" si="116"/>
        <v>296.90579114956006</v>
      </c>
      <c r="M296" s="306">
        <f t="shared" ca="1" si="132"/>
        <v>1.4544875825947006</v>
      </c>
      <c r="N296" s="304">
        <f t="shared" ca="1" si="133"/>
        <v>83.335999836862072</v>
      </c>
      <c r="P296" s="310">
        <f t="shared" ca="1" si="134"/>
        <v>10</v>
      </c>
      <c r="Q296" s="304">
        <f t="shared" ca="1" si="135"/>
        <v>752.08571428571679</v>
      </c>
      <c r="R296" s="306">
        <f t="shared" ca="1" si="136"/>
        <v>0.37674399723274316</v>
      </c>
      <c r="S296" s="307">
        <f t="shared" ca="1" si="137"/>
        <v>11.128039166839343</v>
      </c>
      <c r="T296" s="304">
        <f t="shared" ca="1" si="117"/>
        <v>109.16606422669396</v>
      </c>
      <c r="U296" s="311">
        <f t="shared" ca="1" si="118"/>
        <v>0</v>
      </c>
      <c r="V296" s="306">
        <f t="shared" ca="1" si="119"/>
        <v>1.1893689502753713</v>
      </c>
      <c r="W296" s="304">
        <f t="shared" ca="1" si="120"/>
        <v>175.25126711029085</v>
      </c>
      <c r="Y296" s="314" t="str">
        <f t="shared" ca="1" si="138"/>
        <v/>
      </c>
      <c r="Z296" s="315" t="str">
        <f t="shared" ca="1" si="139"/>
        <v/>
      </c>
      <c r="AA296" s="316" t="str">
        <f t="shared" ca="1" si="140"/>
        <v/>
      </c>
      <c r="AC296" s="310" t="e">
        <f t="shared" ca="1" si="141"/>
        <v>#N/A</v>
      </c>
      <c r="AD296" s="323" t="e">
        <f t="shared" ca="1" si="142"/>
        <v>#N/A</v>
      </c>
      <c r="AE296" s="324">
        <f t="shared" ca="1" si="121"/>
        <v>295.15828324883762</v>
      </c>
      <c r="AG296" s="306">
        <f t="shared" ca="1" si="143"/>
        <v>42.159852956937577</v>
      </c>
      <c r="AH296" s="304">
        <f t="shared" ca="1" si="144"/>
        <v>51.903643014292669</v>
      </c>
    </row>
    <row r="297" spans="1:34" x14ac:dyDescent="0.25">
      <c r="A297" s="347">
        <f t="shared" ca="1" si="122"/>
        <v>0.01</v>
      </c>
      <c r="B297" s="304">
        <f t="shared" ca="1" si="123"/>
        <v>2.9299999999999815</v>
      </c>
      <c r="D297" s="306">
        <f t="shared" ca="1" si="124"/>
        <v>6.003436006007548</v>
      </c>
      <c r="E297" s="307">
        <f t="shared" ca="1" si="125"/>
        <v>41.573416268405978</v>
      </c>
      <c r="F297" s="304">
        <f t="shared" ca="1" si="126"/>
        <v>42.004644792027349</v>
      </c>
      <c r="G297" s="306">
        <f t="shared" ca="1" si="127"/>
        <v>21.91051516507104</v>
      </c>
      <c r="H297" s="307">
        <f t="shared" ca="1" si="128"/>
        <v>187.43402664471805</v>
      </c>
      <c r="I297" s="304">
        <f t="shared" ca="1" si="129"/>
        <v>188.71032038299251</v>
      </c>
      <c r="J297" s="306">
        <f t="shared" ca="1" si="130"/>
        <v>32.384573239680954</v>
      </c>
      <c r="K297" s="307">
        <f t="shared" ca="1" si="131"/>
        <v>297.03054484447136</v>
      </c>
      <c r="L297" s="304">
        <f t="shared" ca="1" si="116"/>
        <v>298.79073806682794</v>
      </c>
      <c r="M297" s="306">
        <f t="shared" ca="1" si="132"/>
        <v>1.4544272563750458</v>
      </c>
      <c r="N297" s="304">
        <f t="shared" ca="1" si="133"/>
        <v>83.332543399081885</v>
      </c>
      <c r="P297" s="310">
        <f t="shared" ca="1" si="134"/>
        <v>10</v>
      </c>
      <c r="Q297" s="304">
        <f t="shared" ca="1" si="135"/>
        <v>750.74285714285963</v>
      </c>
      <c r="R297" s="306">
        <f t="shared" ca="1" si="136"/>
        <v>0.37607131676813277</v>
      </c>
      <c r="S297" s="307">
        <f t="shared" ca="1" si="137"/>
        <v>11.124278453671662</v>
      </c>
      <c r="T297" s="304">
        <f t="shared" ca="1" si="117"/>
        <v>109.12917163051901</v>
      </c>
      <c r="U297" s="311">
        <f t="shared" ca="1" si="118"/>
        <v>0</v>
      </c>
      <c r="V297" s="306">
        <f t="shared" ca="1" si="119"/>
        <v>1.1891462413301737</v>
      </c>
      <c r="W297" s="304">
        <f t="shared" ca="1" si="120"/>
        <v>176.00080603429677</v>
      </c>
      <c r="Y297" s="314" t="str">
        <f t="shared" ca="1" si="138"/>
        <v/>
      </c>
      <c r="Z297" s="315" t="str">
        <f t="shared" ca="1" si="139"/>
        <v/>
      </c>
      <c r="AA297" s="316" t="str">
        <f t="shared" ca="1" si="140"/>
        <v/>
      </c>
      <c r="AC297" s="310" t="e">
        <f t="shared" ca="1" si="141"/>
        <v>#N/A</v>
      </c>
      <c r="AD297" s="323" t="e">
        <f t="shared" ca="1" si="142"/>
        <v>#N/A</v>
      </c>
      <c r="AE297" s="324">
        <f t="shared" ca="1" si="121"/>
        <v>297.03054484447136</v>
      </c>
      <c r="AG297" s="306">
        <f t="shared" ca="1" si="143"/>
        <v>41.989215145188481</v>
      </c>
      <c r="AH297" s="304">
        <f t="shared" ca="1" si="144"/>
        <v>51.732936426328209</v>
      </c>
    </row>
    <row r="298" spans="1:34" x14ac:dyDescent="0.25">
      <c r="A298" s="347">
        <f t="shared" ca="1" si="122"/>
        <v>0.01</v>
      </c>
      <c r="B298" s="304">
        <f t="shared" ca="1" si="123"/>
        <v>2.9399999999999813</v>
      </c>
      <c r="D298" s="306">
        <f t="shared" ca="1" si="124"/>
        <v>5.9867172225831125</v>
      </c>
      <c r="E298" s="307">
        <f t="shared" ca="1" si="125"/>
        <v>41.403515837403468</v>
      </c>
      <c r="F298" s="304">
        <f t="shared" ca="1" si="126"/>
        <v>41.834099808664376</v>
      </c>
      <c r="G298" s="306">
        <f t="shared" ca="1" si="127"/>
        <v>21.970382337296872</v>
      </c>
      <c r="H298" s="307">
        <f t="shared" ca="1" si="128"/>
        <v>187.84806180309209</v>
      </c>
      <c r="I298" s="304">
        <f t="shared" ca="1" si="129"/>
        <v>189.1285066382784</v>
      </c>
      <c r="J298" s="306">
        <f t="shared" ca="1" si="130"/>
        <v>32.603977727192792</v>
      </c>
      <c r="K298" s="307">
        <f t="shared" ca="1" si="131"/>
        <v>298.9069552867104</v>
      </c>
      <c r="L298" s="304">
        <f t="shared" ca="1" si="116"/>
        <v>300.6798750871211</v>
      </c>
      <c r="M298" s="306">
        <f t="shared" ca="1" si="132"/>
        <v>1.4543670324646532</v>
      </c>
      <c r="N298" s="304">
        <f t="shared" ca="1" si="133"/>
        <v>83.329092823190607</v>
      </c>
      <c r="P298" s="310">
        <f t="shared" ca="1" si="134"/>
        <v>10</v>
      </c>
      <c r="Q298" s="304">
        <f t="shared" ca="1" si="135"/>
        <v>749.40000000000248</v>
      </c>
      <c r="R298" s="306">
        <f t="shared" ca="1" si="136"/>
        <v>0.37539863630352238</v>
      </c>
      <c r="S298" s="307">
        <f t="shared" ca="1" si="137"/>
        <v>11.120524467308627</v>
      </c>
      <c r="T298" s="304">
        <f t="shared" ca="1" si="117"/>
        <v>109.09234502429764</v>
      </c>
      <c r="U298" s="311">
        <f t="shared" ca="1" si="118"/>
        <v>0</v>
      </c>
      <c r="V298" s="306">
        <f t="shared" ca="1" si="119"/>
        <v>1.1889230800916739</v>
      </c>
      <c r="W298" s="304">
        <f t="shared" ca="1" si="120"/>
        <v>176.74853795370714</v>
      </c>
      <c r="Y298" s="314" t="str">
        <f t="shared" ca="1" si="138"/>
        <v/>
      </c>
      <c r="Z298" s="315" t="str">
        <f t="shared" ca="1" si="139"/>
        <v/>
      </c>
      <c r="AA298" s="316" t="str">
        <f t="shared" ca="1" si="140"/>
        <v/>
      </c>
      <c r="AC298" s="310" t="e">
        <f t="shared" ca="1" si="141"/>
        <v>#N/A</v>
      </c>
      <c r="AD298" s="323" t="e">
        <f t="shared" ca="1" si="142"/>
        <v>#N/A</v>
      </c>
      <c r="AE298" s="324">
        <f t="shared" ca="1" si="121"/>
        <v>298.9069552867104</v>
      </c>
      <c r="AG298" s="306">
        <f t="shared" ca="1" si="143"/>
        <v>41.818591230893354</v>
      </c>
      <c r="AH298" s="304">
        <f t="shared" ca="1" si="144"/>
        <v>51.562243817847467</v>
      </c>
    </row>
    <row r="299" spans="1:34" x14ac:dyDescent="0.25">
      <c r="A299" s="347">
        <f t="shared" ca="1" si="122"/>
        <v>0.01</v>
      </c>
      <c r="B299" s="304">
        <f t="shared" ca="1" si="123"/>
        <v>2.9499999999999811</v>
      </c>
      <c r="D299" s="306">
        <f t="shared" ca="1" si="124"/>
        <v>5.9699746182483979</v>
      </c>
      <c r="E299" s="307">
        <f t="shared" ca="1" si="125"/>
        <v>41.233634281586859</v>
      </c>
      <c r="F299" s="304">
        <f t="shared" ca="1" si="126"/>
        <v>41.663571534497436</v>
      </c>
      <c r="G299" s="306">
        <f t="shared" ca="1" si="127"/>
        <v>22.030082083479357</v>
      </c>
      <c r="H299" s="307">
        <f t="shared" ca="1" si="128"/>
        <v>188.26039814590797</v>
      </c>
      <c r="I299" s="304">
        <f t="shared" ca="1" si="129"/>
        <v>189.54498681490003</v>
      </c>
      <c r="J299" s="306">
        <f t="shared" ca="1" si="130"/>
        <v>32.823980049296672</v>
      </c>
      <c r="K299" s="307">
        <f t="shared" ca="1" si="131"/>
        <v>300.7874975864554</v>
      </c>
      <c r="L299" s="304">
        <f t="shared" ca="1" si="116"/>
        <v>302.57318514798783</v>
      </c>
      <c r="M299" s="306">
        <f t="shared" ca="1" si="132"/>
        <v>1.4543069099237411</v>
      </c>
      <c r="N299" s="304">
        <f t="shared" ca="1" si="133"/>
        <v>83.325648055342739</v>
      </c>
      <c r="P299" s="310">
        <f t="shared" ca="1" si="134"/>
        <v>10</v>
      </c>
      <c r="Q299" s="304">
        <f t="shared" ca="1" si="135"/>
        <v>748.05714285714544</v>
      </c>
      <c r="R299" s="306">
        <f t="shared" ca="1" si="136"/>
        <v>0.37472595583891205</v>
      </c>
      <c r="S299" s="307">
        <f t="shared" ca="1" si="137"/>
        <v>11.116777207750237</v>
      </c>
      <c r="T299" s="304">
        <f t="shared" ca="1" si="117"/>
        <v>109.05558440802983</v>
      </c>
      <c r="U299" s="311">
        <f t="shared" ca="1" si="118"/>
        <v>0</v>
      </c>
      <c r="V299" s="306">
        <f t="shared" ca="1" si="119"/>
        <v>1.1886994688420622</v>
      </c>
      <c r="W299" s="304">
        <f t="shared" ca="1" si="120"/>
        <v>177.49444228367128</v>
      </c>
      <c r="Y299" s="314" t="str">
        <f t="shared" ca="1" si="138"/>
        <v/>
      </c>
      <c r="Z299" s="315" t="str">
        <f t="shared" ca="1" si="139"/>
        <v/>
      </c>
      <c r="AA299" s="316" t="str">
        <f t="shared" ca="1" si="140"/>
        <v/>
      </c>
      <c r="AC299" s="310" t="e">
        <f t="shared" ca="1" si="141"/>
        <v>#N/A</v>
      </c>
      <c r="AD299" s="323" t="e">
        <f t="shared" ca="1" si="142"/>
        <v>#N/A</v>
      </c>
      <c r="AE299" s="324">
        <f t="shared" ca="1" si="121"/>
        <v>300.7874975864554</v>
      </c>
      <c r="AG299" s="306">
        <f t="shared" ca="1" si="143"/>
        <v>41.647983404561408</v>
      </c>
      <c r="AH299" s="304">
        <f t="shared" ca="1" si="144"/>
        <v>51.391567378461218</v>
      </c>
    </row>
    <row r="300" spans="1:34" x14ac:dyDescent="0.25">
      <c r="A300" s="347">
        <f t="shared" ca="1" si="122"/>
        <v>0.01</v>
      </c>
      <c r="B300" s="304">
        <f t="shared" ca="1" si="123"/>
        <v>2.9599999999999809</v>
      </c>
      <c r="D300" s="306">
        <f t="shared" ca="1" si="124"/>
        <v>5.9532085492721443</v>
      </c>
      <c r="E300" s="307">
        <f t="shared" ca="1" si="125"/>
        <v>41.063773755571461</v>
      </c>
      <c r="F300" s="304">
        <f t="shared" ca="1" si="126"/>
        <v>41.493062155978393</v>
      </c>
      <c r="G300" s="306">
        <f t="shared" ca="1" si="127"/>
        <v>22.08961416897208</v>
      </c>
      <c r="H300" s="307">
        <f t="shared" ca="1" si="128"/>
        <v>188.67103588346367</v>
      </c>
      <c r="I300" s="304">
        <f t="shared" ca="1" si="129"/>
        <v>189.95976109553646</v>
      </c>
      <c r="J300" s="306">
        <f t="shared" ca="1" si="130"/>
        <v>33.04457853055893</v>
      </c>
      <c r="K300" s="307">
        <f t="shared" ca="1" si="131"/>
        <v>302.67215475660225</v>
      </c>
      <c r="L300" s="304">
        <f t="shared" ca="1" si="116"/>
        <v>304.47065118869313</v>
      </c>
      <c r="M300" s="306">
        <f t="shared" ca="1" si="132"/>
        <v>1.4542468878210162</v>
      </c>
      <c r="N300" s="304">
        <f t="shared" ca="1" si="133"/>
        <v>83.322209042179111</v>
      </c>
      <c r="P300" s="310">
        <f t="shared" ca="1" si="134"/>
        <v>10</v>
      </c>
      <c r="Q300" s="304">
        <f t="shared" ca="1" si="135"/>
        <v>746.71428571428828</v>
      </c>
      <c r="R300" s="306">
        <f t="shared" ca="1" si="136"/>
        <v>0.37405327537430166</v>
      </c>
      <c r="S300" s="307">
        <f t="shared" ca="1" si="137"/>
        <v>11.113036674996494</v>
      </c>
      <c r="T300" s="304">
        <f t="shared" ca="1" si="117"/>
        <v>109.0188897817156</v>
      </c>
      <c r="U300" s="311">
        <f t="shared" ca="1" si="118"/>
        <v>0</v>
      </c>
      <c r="V300" s="306">
        <f t="shared" ca="1" si="119"/>
        <v>1.1884754098622461</v>
      </c>
      <c r="W300" s="304">
        <f t="shared" ca="1" si="120"/>
        <v>178.23849859395744</v>
      </c>
      <c r="Y300" s="314" t="str">
        <f t="shared" ca="1" si="138"/>
        <v/>
      </c>
      <c r="Z300" s="315" t="str">
        <f t="shared" ca="1" si="139"/>
        <v/>
      </c>
      <c r="AA300" s="316" t="str">
        <f t="shared" ca="1" si="140"/>
        <v/>
      </c>
      <c r="AC300" s="310" t="e">
        <f t="shared" ca="1" si="141"/>
        <v>#N/A</v>
      </c>
      <c r="AD300" s="323" t="e">
        <f t="shared" ca="1" si="142"/>
        <v>#N/A</v>
      </c>
      <c r="AE300" s="324">
        <f t="shared" ca="1" si="121"/>
        <v>302.67215475660225</v>
      </c>
      <c r="AG300" s="306">
        <f t="shared" ca="1" si="143"/>
        <v>41.477393845690941</v>
      </c>
      <c r="AH300" s="304">
        <f t="shared" ca="1" si="144"/>
        <v>51.22090928677661</v>
      </c>
    </row>
    <row r="301" spans="1:34" x14ac:dyDescent="0.25">
      <c r="A301" s="347">
        <f t="shared" ca="1" si="122"/>
        <v>0.01</v>
      </c>
      <c r="B301" s="304">
        <f t="shared" ca="1" si="123"/>
        <v>2.9699999999999807</v>
      </c>
      <c r="D301" s="306">
        <f t="shared" ca="1" si="124"/>
        <v>5.9364193700777674</v>
      </c>
      <c r="E301" s="307">
        <f t="shared" ca="1" si="125"/>
        <v>40.893936403039085</v>
      </c>
      <c r="F301" s="304">
        <f t="shared" ca="1" si="126"/>
        <v>41.322573848602893</v>
      </c>
      <c r="G301" s="306">
        <f t="shared" ca="1" si="127"/>
        <v>22.148978362672857</v>
      </c>
      <c r="H301" s="307">
        <f t="shared" ca="1" si="128"/>
        <v>189.07997524749408</v>
      </c>
      <c r="I301" s="304">
        <f t="shared" ca="1" si="129"/>
        <v>190.37282968455116</v>
      </c>
      <c r="J301" s="306">
        <f t="shared" ca="1" si="130"/>
        <v>33.265771493217152</v>
      </c>
      <c r="K301" s="307">
        <f t="shared" ca="1" si="131"/>
        <v>304.56090981225702</v>
      </c>
      <c r="L301" s="304">
        <f t="shared" ca="1" si="116"/>
        <v>306.37225615043656</v>
      </c>
      <c r="M301" s="306">
        <f t="shared" ca="1" si="132"/>
        <v>1.4541869652335584</v>
      </c>
      <c r="N301" s="304">
        <f t="shared" ca="1" si="133"/>
        <v>83.318775730820278</v>
      </c>
      <c r="P301" s="310">
        <f t="shared" ca="1" si="134"/>
        <v>10</v>
      </c>
      <c r="Q301" s="304">
        <f t="shared" ca="1" si="135"/>
        <v>745.37142857143112</v>
      </c>
      <c r="R301" s="306">
        <f t="shared" ca="1" si="136"/>
        <v>0.37338059490969128</v>
      </c>
      <c r="S301" s="307">
        <f t="shared" ca="1" si="137"/>
        <v>11.109302869047397</v>
      </c>
      <c r="T301" s="304">
        <f t="shared" ca="1" si="117"/>
        <v>108.98226114535497</v>
      </c>
      <c r="U301" s="311">
        <f t="shared" ca="1" si="118"/>
        <v>0</v>
      </c>
      <c r="V301" s="306">
        <f t="shared" ca="1" si="119"/>
        <v>1.1882509054318215</v>
      </c>
      <c r="W301" s="304">
        <f t="shared" ca="1" si="120"/>
        <v>178.98068660908177</v>
      </c>
      <c r="Y301" s="314" t="str">
        <f t="shared" ca="1" si="138"/>
        <v/>
      </c>
      <c r="Z301" s="315" t="str">
        <f t="shared" ca="1" si="139"/>
        <v/>
      </c>
      <c r="AA301" s="316" t="str">
        <f t="shared" ca="1" si="140"/>
        <v/>
      </c>
      <c r="AC301" s="310" t="e">
        <f t="shared" ca="1" si="141"/>
        <v>#N/A</v>
      </c>
      <c r="AD301" s="323" t="e">
        <f t="shared" ca="1" si="142"/>
        <v>#N/A</v>
      </c>
      <c r="AE301" s="324">
        <f t="shared" ca="1" si="121"/>
        <v>304.56090981225702</v>
      </c>
      <c r="AG301" s="306">
        <f t="shared" ca="1" si="143"/>
        <v>41.30682472272531</v>
      </c>
      <c r="AH301" s="304">
        <f t="shared" ca="1" si="144"/>
        <v>51.050271710352987</v>
      </c>
    </row>
    <row r="302" spans="1:34" x14ac:dyDescent="0.25">
      <c r="A302" s="347">
        <f t="shared" ca="1" si="122"/>
        <v>0.01</v>
      </c>
      <c r="B302" s="304">
        <f t="shared" ca="1" si="123"/>
        <v>2.9799999999999804</v>
      </c>
      <c r="D302" s="306">
        <f t="shared" ca="1" si="124"/>
        <v>5.9196074332460435</v>
      </c>
      <c r="E302" s="307">
        <f t="shared" ca="1" si="125"/>
        <v>40.724124356694411</v>
      </c>
      <c r="F302" s="304">
        <f t="shared" ca="1" si="126"/>
        <v>41.152108776868928</v>
      </c>
      <c r="G302" s="306">
        <f t="shared" ca="1" si="127"/>
        <v>22.208174437005319</v>
      </c>
      <c r="H302" s="307">
        <f t="shared" ca="1" si="128"/>
        <v>189.48721649106102</v>
      </c>
      <c r="I302" s="304">
        <f t="shared" ca="1" si="129"/>
        <v>190.78419280788094</v>
      </c>
      <c r="J302" s="306">
        <f t="shared" ca="1" si="130"/>
        <v>33.487557257215542</v>
      </c>
      <c r="K302" s="307">
        <f t="shared" ca="1" si="131"/>
        <v>306.45374577094981</v>
      </c>
      <c r="L302" s="304">
        <f t="shared" ca="1" si="116"/>
        <v>308.27798297656813</v>
      </c>
      <c r="M302" s="306">
        <f t="shared" ca="1" si="132"/>
        <v>1.4541271412467101</v>
      </c>
      <c r="N302" s="304">
        <f t="shared" ca="1" si="133"/>
        <v>83.315348068860217</v>
      </c>
      <c r="P302" s="310">
        <f t="shared" ca="1" si="134"/>
        <v>10</v>
      </c>
      <c r="Q302" s="304">
        <f t="shared" ca="1" si="135"/>
        <v>744.02857142857408</v>
      </c>
      <c r="R302" s="306">
        <f t="shared" ca="1" si="136"/>
        <v>0.372707914445081</v>
      </c>
      <c r="S302" s="307">
        <f t="shared" ca="1" si="137"/>
        <v>11.105575789902947</v>
      </c>
      <c r="T302" s="304">
        <f t="shared" ca="1" si="117"/>
        <v>108.94569849894791</v>
      </c>
      <c r="U302" s="311">
        <f t="shared" ca="1" si="118"/>
        <v>0</v>
      </c>
      <c r="V302" s="306">
        <f t="shared" ca="1" si="119"/>
        <v>1.188025957829038</v>
      </c>
      <c r="W302" s="304">
        <f t="shared" ca="1" si="120"/>
        <v>179.72098620842536</v>
      </c>
      <c r="Y302" s="314" t="str">
        <f t="shared" ca="1" si="138"/>
        <v/>
      </c>
      <c r="Z302" s="315" t="str">
        <f t="shared" ca="1" si="139"/>
        <v/>
      </c>
      <c r="AA302" s="316" t="str">
        <f t="shared" ca="1" si="140"/>
        <v/>
      </c>
      <c r="AC302" s="310" t="e">
        <f t="shared" ca="1" si="141"/>
        <v>#N/A</v>
      </c>
      <c r="AD302" s="323" t="e">
        <f t="shared" ca="1" si="142"/>
        <v>#N/A</v>
      </c>
      <c r="AE302" s="324">
        <f t="shared" ca="1" si="121"/>
        <v>306.45374577094981</v>
      </c>
      <c r="AG302" s="306">
        <f t="shared" ca="1" si="143"/>
        <v>41.136278193009602</v>
      </c>
      <c r="AH302" s="304">
        <f t="shared" ca="1" si="144"/>
        <v>50.879656805658556</v>
      </c>
    </row>
    <row r="303" spans="1:34" x14ac:dyDescent="0.25">
      <c r="A303" s="347">
        <f t="shared" ca="1" si="122"/>
        <v>0.01</v>
      </c>
      <c r="B303" s="304">
        <f t="shared" ca="1" si="123"/>
        <v>2.9899999999999802</v>
      </c>
      <c r="D303" s="306">
        <f t="shared" ca="1" si="124"/>
        <v>5.9027730895176553</v>
      </c>
      <c r="E303" s="307">
        <f t="shared" ca="1" si="125"/>
        <v>40.554339738222353</v>
      </c>
      <c r="F303" s="304">
        <f t="shared" ca="1" si="126"/>
        <v>40.981669094236445</v>
      </c>
      <c r="G303" s="306">
        <f t="shared" ca="1" si="127"/>
        <v>22.267202167900496</v>
      </c>
      <c r="H303" s="307">
        <f t="shared" ca="1" si="128"/>
        <v>189.89275988844324</v>
      </c>
      <c r="I303" s="304">
        <f t="shared" ca="1" si="129"/>
        <v>191.19385071292464</v>
      </c>
      <c r="J303" s="306">
        <f t="shared" ca="1" si="130"/>
        <v>33.709934140240073</v>
      </c>
      <c r="K303" s="307">
        <f t="shared" ca="1" si="131"/>
        <v>308.35064565284733</v>
      </c>
      <c r="L303" s="304">
        <f t="shared" ca="1" si="116"/>
        <v>310.18781461280378</v>
      </c>
      <c r="M303" s="306">
        <f t="shared" ca="1" si="132"/>
        <v>1.4540674149539663</v>
      </c>
      <c r="N303" s="304">
        <f t="shared" ca="1" si="133"/>
        <v>83.311926004360032</v>
      </c>
      <c r="P303" s="310">
        <f t="shared" ca="1" si="134"/>
        <v>10</v>
      </c>
      <c r="Q303" s="304">
        <f t="shared" ca="1" si="135"/>
        <v>742.68571428571693</v>
      </c>
      <c r="R303" s="306">
        <f t="shared" ca="1" si="136"/>
        <v>0.37203523398047061</v>
      </c>
      <c r="S303" s="307">
        <f t="shared" ca="1" si="137"/>
        <v>11.101855437563142</v>
      </c>
      <c r="T303" s="304">
        <f t="shared" ca="1" si="117"/>
        <v>108.90920184249443</v>
      </c>
      <c r="U303" s="311">
        <f t="shared" ca="1" si="118"/>
        <v>0</v>
      </c>
      <c r="V303" s="306">
        <f t="shared" ca="1" si="119"/>
        <v>1.1878005693307649</v>
      </c>
      <c r="W303" s="304">
        <f t="shared" ca="1" si="120"/>
        <v>180.45937742634032</v>
      </c>
      <c r="Y303" s="314" t="str">
        <f t="shared" ca="1" si="138"/>
        <v/>
      </c>
      <c r="Z303" s="315" t="str">
        <f t="shared" ca="1" si="139"/>
        <v/>
      </c>
      <c r="AA303" s="316" t="str">
        <f t="shared" ca="1" si="140"/>
        <v/>
      </c>
      <c r="AC303" s="310" t="e">
        <f t="shared" ca="1" si="141"/>
        <v>#N/A</v>
      </c>
      <c r="AD303" s="323" t="e">
        <f t="shared" ca="1" si="142"/>
        <v>#N/A</v>
      </c>
      <c r="AE303" s="324">
        <f t="shared" ca="1" si="121"/>
        <v>308.35064565284733</v>
      </c>
      <c r="AG303" s="306">
        <f t="shared" ca="1" si="143"/>
        <v>40.965756402748468</v>
      </c>
      <c r="AH303" s="304">
        <f t="shared" ca="1" si="144"/>
        <v>50.709066718028019</v>
      </c>
    </row>
    <row r="304" spans="1:34" x14ac:dyDescent="0.25">
      <c r="A304" s="347">
        <f t="shared" ca="1" si="122"/>
        <v>0.01</v>
      </c>
      <c r="B304" s="304">
        <f t="shared" ca="1" si="123"/>
        <v>2.99999999999998</v>
      </c>
      <c r="D304" s="306">
        <f t="shared" ca="1" si="124"/>
        <v>5.8859166877957323</v>
      </c>
      <c r="E304" s="307">
        <f t="shared" ca="1" si="125"/>
        <v>40.384584658246723</v>
      </c>
      <c r="F304" s="304">
        <f t="shared" ca="1" si="126"/>
        <v>40.811256943088246</v>
      </c>
      <c r="G304" s="306">
        <f t="shared" ca="1" si="127"/>
        <v>22.326061334778455</v>
      </c>
      <c r="H304" s="307">
        <f t="shared" ca="1" si="128"/>
        <v>190.29660573502571</v>
      </c>
      <c r="I304" s="304">
        <f t="shared" ca="1" si="129"/>
        <v>191.60180366843133</v>
      </c>
      <c r="J304" s="306">
        <f t="shared" ca="1" si="130"/>
        <v>33.932900457753469</v>
      </c>
      <c r="K304" s="307">
        <f t="shared" ca="1" si="131"/>
        <v>310.25159248096469</v>
      </c>
      <c r="L304" s="304">
        <f t="shared" ca="1" si="116"/>
        <v>312.10173400743929</v>
      </c>
      <c r="M304" s="306">
        <f t="shared" ca="1" si="132"/>
        <v>1.4540077854568665</v>
      </c>
      <c r="N304" s="304">
        <f t="shared" ca="1" si="133"/>
        <v>83.308509485841725</v>
      </c>
      <c r="P304" s="310">
        <f t="shared" ca="1" si="134"/>
        <v>10</v>
      </c>
      <c r="Q304" s="304">
        <f t="shared" ca="1" si="135"/>
        <v>741.34285714285988</v>
      </c>
      <c r="R304" s="306">
        <f t="shared" ca="1" si="136"/>
        <v>0.37136255351586028</v>
      </c>
      <c r="S304" s="307">
        <f t="shared" ca="1" si="137"/>
        <v>11.098141812027983</v>
      </c>
      <c r="T304" s="304">
        <f t="shared" ca="1" si="117"/>
        <v>108.87277117599452</v>
      </c>
      <c r="U304" s="311">
        <f t="shared" ca="1" si="118"/>
        <v>0</v>
      </c>
      <c r="V304" s="306">
        <f t="shared" ca="1" si="119"/>
        <v>1.1875747422124618</v>
      </c>
      <c r="W304" s="304">
        <f t="shared" ca="1" si="120"/>
        <v>181.19584045224659</v>
      </c>
      <c r="Y304" s="314" t="str">
        <f t="shared" ca="1" si="138"/>
        <v/>
      </c>
      <c r="Z304" s="315" t="str">
        <f t="shared" ca="1" si="139"/>
        <v/>
      </c>
      <c r="AA304" s="316" t="str">
        <f t="shared" ca="1" si="140"/>
        <v/>
      </c>
      <c r="AC304" s="310">
        <f t="shared" ca="1" si="141"/>
        <v>2.99999999999998</v>
      </c>
      <c r="AD304" s="323">
        <f t="shared" ca="1" si="142"/>
        <v>33.932900457753469</v>
      </c>
      <c r="AE304" s="324">
        <f t="shared" ca="1" si="121"/>
        <v>310.25159248096469</v>
      </c>
      <c r="AG304" s="306">
        <f t="shared" ca="1" si="143"/>
        <v>40.79526148696506</v>
      </c>
      <c r="AH304" s="304">
        <f t="shared" ca="1" si="144"/>
        <v>50.538503581621505</v>
      </c>
    </row>
    <row r="305" spans="1:34" x14ac:dyDescent="0.25">
      <c r="A305" s="347">
        <f t="shared" ca="1" si="122"/>
        <v>0.01</v>
      </c>
      <c r="B305" s="304">
        <f t="shared" ca="1" si="123"/>
        <v>3.0099999999999798</v>
      </c>
      <c r="D305" s="306">
        <f t="shared" ca="1" si="124"/>
        <v>5.8690385751483207</v>
      </c>
      <c r="E305" s="307">
        <f t="shared" ca="1" si="125"/>
        <v>40.214861216289371</v>
      </c>
      <c r="F305" s="304">
        <f t="shared" ca="1" si="126"/>
        <v>40.640874454691478</v>
      </c>
      <c r="G305" s="306">
        <f t="shared" ca="1" si="127"/>
        <v>22.384751720529938</v>
      </c>
      <c r="H305" s="307">
        <f t="shared" ca="1" si="128"/>
        <v>190.69875434718861</v>
      </c>
      <c r="I305" s="304">
        <f t="shared" ca="1" si="129"/>
        <v>192.00805196438807</v>
      </c>
      <c r="J305" s="306">
        <f t="shared" ca="1" si="130"/>
        <v>34.156454523030014</v>
      </c>
      <c r="K305" s="307">
        <f t="shared" ca="1" si="131"/>
        <v>312.15656928137577</v>
      </c>
      <c r="L305" s="304">
        <f t="shared" ca="1" si="116"/>
        <v>314.01972411156305</v>
      </c>
      <c r="M305" s="306">
        <f t="shared" ca="1" si="132"/>
        <v>1.453948251864889</v>
      </c>
      <c r="N305" s="304">
        <f t="shared" ca="1" si="133"/>
        <v>83.30509846228216</v>
      </c>
      <c r="P305" s="310">
        <f t="shared" ca="1" si="134"/>
        <v>10</v>
      </c>
      <c r="Q305" s="304">
        <f t="shared" ca="1" si="135"/>
        <v>740.00000000000273</v>
      </c>
      <c r="R305" s="306">
        <f t="shared" ca="1" si="136"/>
        <v>0.3706898730512499</v>
      </c>
      <c r="S305" s="307">
        <f t="shared" ca="1" si="137"/>
        <v>11.094434913297469</v>
      </c>
      <c r="T305" s="304">
        <f t="shared" ca="1" si="117"/>
        <v>108.83640649944817</v>
      </c>
      <c r="U305" s="311">
        <f t="shared" ca="1" si="118"/>
        <v>0</v>
      </c>
      <c r="V305" s="306">
        <f t="shared" ca="1" si="119"/>
        <v>1.1873484787481421</v>
      </c>
      <c r="W305" s="304">
        <f t="shared" ca="1" si="120"/>
        <v>181.93035563071629</v>
      </c>
      <c r="Y305" s="314" t="str">
        <f t="shared" ca="1" si="138"/>
        <v/>
      </c>
      <c r="Z305" s="315" t="str">
        <f t="shared" ca="1" si="139"/>
        <v/>
      </c>
      <c r="AA305" s="316" t="str">
        <f t="shared" ca="1" si="140"/>
        <v/>
      </c>
      <c r="AC305" s="310" t="e">
        <f t="shared" ca="1" si="141"/>
        <v>#N/A</v>
      </c>
      <c r="AD305" s="323" t="e">
        <f t="shared" ca="1" si="142"/>
        <v>#N/A</v>
      </c>
      <c r="AE305" s="324">
        <f t="shared" ca="1" si="121"/>
        <v>312.15656928137577</v>
      </c>
      <c r="AG305" s="306">
        <f t="shared" ca="1" si="143"/>
        <v>40.624795569460538</v>
      </c>
      <c r="AH305" s="304">
        <f t="shared" ca="1" si="144"/>
        <v>50.367969519383962</v>
      </c>
    </row>
    <row r="306" spans="1:34" x14ac:dyDescent="0.25">
      <c r="A306" s="347">
        <f t="shared" ca="1" si="122"/>
        <v>0.01</v>
      </c>
      <c r="B306" s="304">
        <f t="shared" ca="1" si="123"/>
        <v>3.0199999999999796</v>
      </c>
      <c r="D306" s="306">
        <f t="shared" ca="1" si="124"/>
        <v>5.8521390968107863</v>
      </c>
      <c r="E306" s="307">
        <f t="shared" ca="1" si="125"/>
        <v>40.04517150073081</v>
      </c>
      <c r="F306" s="304">
        <f t="shared" ca="1" si="126"/>
        <v>40.470523749160506</v>
      </c>
      <c r="G306" s="306">
        <f t="shared" ca="1" si="127"/>
        <v>22.443273111498044</v>
      </c>
      <c r="H306" s="307">
        <f t="shared" ca="1" si="128"/>
        <v>191.09920606219592</v>
      </c>
      <c r="I306" s="304">
        <f t="shared" ca="1" si="129"/>
        <v>192.41259591190726</v>
      </c>
      <c r="J306" s="306">
        <f t="shared" ca="1" si="130"/>
        <v>34.380594647190151</v>
      </c>
      <c r="K306" s="307">
        <f t="shared" ca="1" si="131"/>
        <v>314.06555908342267</v>
      </c>
      <c r="L306" s="304">
        <f t="shared" ca="1" si="116"/>
        <v>315.94176787926801</v>
      </c>
      <c r="M306" s="306">
        <f t="shared" ca="1" si="132"/>
        <v>1.4538888132953451</v>
      </c>
      <c r="N306" s="304">
        <f t="shared" ca="1" si="133"/>
        <v>83.301692883107009</v>
      </c>
      <c r="P306" s="310">
        <f t="shared" ca="1" si="134"/>
        <v>10</v>
      </c>
      <c r="Q306" s="304">
        <f t="shared" ca="1" si="135"/>
        <v>738.65714285714557</v>
      </c>
      <c r="R306" s="306">
        <f t="shared" ca="1" si="136"/>
        <v>0.37001719258663951</v>
      </c>
      <c r="S306" s="307">
        <f t="shared" ca="1" si="137"/>
        <v>11.090734741371604</v>
      </c>
      <c r="T306" s="304">
        <f t="shared" ca="1" si="117"/>
        <v>108.80010781285543</v>
      </c>
      <c r="U306" s="311">
        <f t="shared" ca="1" si="118"/>
        <v>0</v>
      </c>
      <c r="V306" s="306">
        <f t="shared" ca="1" si="119"/>
        <v>1.1871217812103438</v>
      </c>
      <c r="W306" s="304">
        <f t="shared" ca="1" si="120"/>
        <v>182.66290346154878</v>
      </c>
      <c r="Y306" s="314" t="str">
        <f t="shared" ca="1" si="138"/>
        <v/>
      </c>
      <c r="Z306" s="315" t="str">
        <f t="shared" ca="1" si="139"/>
        <v/>
      </c>
      <c r="AA306" s="316" t="str">
        <f t="shared" ca="1" si="140"/>
        <v/>
      </c>
      <c r="AC306" s="310" t="e">
        <f t="shared" ca="1" si="141"/>
        <v>#N/A</v>
      </c>
      <c r="AD306" s="323" t="e">
        <f t="shared" ca="1" si="142"/>
        <v>#N/A</v>
      </c>
      <c r="AE306" s="324">
        <f t="shared" ca="1" si="121"/>
        <v>314.06555908342267</v>
      </c>
      <c r="AG306" s="306">
        <f t="shared" ca="1" si="143"/>
        <v>40.454360762775075</v>
      </c>
      <c r="AH306" s="304">
        <f t="shared" ca="1" si="144"/>
        <v>50.197466643006031</v>
      </c>
    </row>
    <row r="307" spans="1:34" x14ac:dyDescent="0.25">
      <c r="A307" s="347">
        <f t="shared" ca="1" si="122"/>
        <v>0.01</v>
      </c>
      <c r="B307" s="304">
        <f t="shared" ca="1" si="123"/>
        <v>3.0299999999999794</v>
      </c>
      <c r="D307" s="306">
        <f t="shared" ca="1" si="124"/>
        <v>5.8352185961882688</v>
      </c>
      <c r="E307" s="307">
        <f t="shared" ca="1" si="125"/>
        <v>39.875517588771586</v>
      </c>
      <c r="F307" s="304">
        <f t="shared" ca="1" si="126"/>
        <v>40.300206935420732</v>
      </c>
      <c r="G307" s="306">
        <f t="shared" ca="1" si="127"/>
        <v>22.501625297459928</v>
      </c>
      <c r="H307" s="307">
        <f t="shared" ca="1" si="128"/>
        <v>191.49796123808363</v>
      </c>
      <c r="I307" s="304">
        <f t="shared" ca="1" si="129"/>
        <v>192.81543584311362</v>
      </c>
      <c r="J307" s="306">
        <f t="shared" ca="1" si="130"/>
        <v>34.605319139234943</v>
      </c>
      <c r="K307" s="307">
        <f t="shared" ca="1" si="131"/>
        <v>315.97854491992405</v>
      </c>
      <c r="L307" s="304">
        <f t="shared" ca="1" si="116"/>
        <v>317.86784826786231</v>
      </c>
      <c r="M307" s="306">
        <f t="shared" ca="1" si="132"/>
        <v>1.4538294688732778</v>
      </c>
      <c r="N307" s="304">
        <f t="shared" ca="1" si="133"/>
        <v>83.298292698184909</v>
      </c>
      <c r="P307" s="310">
        <f t="shared" ca="1" si="134"/>
        <v>10</v>
      </c>
      <c r="Q307" s="304">
        <f t="shared" ca="1" si="135"/>
        <v>737.31428571428853</v>
      </c>
      <c r="R307" s="306">
        <f t="shared" ca="1" si="136"/>
        <v>0.36934451212202918</v>
      </c>
      <c r="S307" s="307">
        <f t="shared" ca="1" si="137"/>
        <v>11.087041296250383</v>
      </c>
      <c r="T307" s="304">
        <f t="shared" ca="1" si="117"/>
        <v>108.76387511621627</v>
      </c>
      <c r="U307" s="311">
        <f t="shared" ca="1" si="118"/>
        <v>0</v>
      </c>
      <c r="V307" s="306">
        <f t="shared" ca="1" si="119"/>
        <v>1.1868946518700974</v>
      </c>
      <c r="W307" s="304">
        <f t="shared" ca="1" si="120"/>
        <v>183.39346459983457</v>
      </c>
      <c r="Y307" s="314" t="str">
        <f t="shared" ca="1" si="138"/>
        <v/>
      </c>
      <c r="Z307" s="315" t="str">
        <f t="shared" ca="1" si="139"/>
        <v/>
      </c>
      <c r="AA307" s="316" t="str">
        <f t="shared" ca="1" si="140"/>
        <v/>
      </c>
      <c r="AC307" s="310" t="e">
        <f t="shared" ca="1" si="141"/>
        <v>#N/A</v>
      </c>
      <c r="AD307" s="323" t="e">
        <f t="shared" ca="1" si="142"/>
        <v>#N/A</v>
      </c>
      <c r="AE307" s="324">
        <f t="shared" ca="1" si="121"/>
        <v>315.97854491992405</v>
      </c>
      <c r="AG307" s="306">
        <f t="shared" ca="1" si="143"/>
        <v>40.283959168149515</v>
      </c>
      <c r="AH307" s="304">
        <f t="shared" ca="1" si="144"/>
        <v>50.026997052885676</v>
      </c>
    </row>
    <row r="308" spans="1:34" x14ac:dyDescent="0.25">
      <c r="A308" s="347">
        <f t="shared" ca="1" si="122"/>
        <v>0.01</v>
      </c>
      <c r="B308" s="304">
        <f t="shared" ca="1" si="123"/>
        <v>3.0399999999999792</v>
      </c>
      <c r="D308" s="306">
        <f t="shared" ca="1" si="124"/>
        <v>5.8182774148579535</v>
      </c>
      <c r="E308" s="307">
        <f t="shared" ca="1" si="125"/>
        <v>39.705901546394536</v>
      </c>
      <c r="F308" s="304">
        <f t="shared" ca="1" si="126"/>
        <v>40.129926111173219</v>
      </c>
      <c r="G308" s="306">
        <f t="shared" ca="1" si="127"/>
        <v>22.559808071608508</v>
      </c>
      <c r="H308" s="307">
        <f t="shared" ca="1" si="128"/>
        <v>191.89502025354759</v>
      </c>
      <c r="I308" s="304">
        <f t="shared" ca="1" si="129"/>
        <v>193.21657211103101</v>
      </c>
      <c r="J308" s="306">
        <f t="shared" ca="1" si="130"/>
        <v>34.830626306080283</v>
      </c>
      <c r="K308" s="307">
        <f t="shared" ca="1" si="131"/>
        <v>317.89550982738223</v>
      </c>
      <c r="L308" s="304">
        <f t="shared" ca="1" si="116"/>
        <v>319.79794823807902</v>
      </c>
      <c r="M308" s="306">
        <f t="shared" ca="1" si="132"/>
        <v>1.4537702177313594</v>
      </c>
      <c r="N308" s="304">
        <f t="shared" ca="1" si="133"/>
        <v>83.294897857821653</v>
      </c>
      <c r="P308" s="310">
        <f t="shared" ca="1" si="134"/>
        <v>10</v>
      </c>
      <c r="Q308" s="304">
        <f t="shared" ca="1" si="135"/>
        <v>735.97142857143137</v>
      </c>
      <c r="R308" s="306">
        <f t="shared" ca="1" si="136"/>
        <v>0.36867183165741879</v>
      </c>
      <c r="S308" s="307">
        <f t="shared" ca="1" si="137"/>
        <v>11.083354577933809</v>
      </c>
      <c r="T308" s="304">
        <f t="shared" ca="1" si="117"/>
        <v>108.72770840953068</v>
      </c>
      <c r="U308" s="311">
        <f t="shared" ca="1" si="118"/>
        <v>0</v>
      </c>
      <c r="V308" s="306">
        <f t="shared" ca="1" si="119"/>
        <v>1.1866670929968917</v>
      </c>
      <c r="W308" s="304">
        <f t="shared" ca="1" si="120"/>
        <v>184.12201985600933</v>
      </c>
      <c r="Y308" s="314" t="str">
        <f t="shared" ca="1" si="138"/>
        <v/>
      </c>
      <c r="Z308" s="315" t="str">
        <f t="shared" ca="1" si="139"/>
        <v/>
      </c>
      <c r="AA308" s="316" t="str">
        <f t="shared" ca="1" si="140"/>
        <v/>
      </c>
      <c r="AC308" s="310" t="e">
        <f t="shared" ca="1" si="141"/>
        <v>#N/A</v>
      </c>
      <c r="AD308" s="323" t="e">
        <f t="shared" ca="1" si="142"/>
        <v>#N/A</v>
      </c>
      <c r="AE308" s="324">
        <f t="shared" ca="1" si="121"/>
        <v>317.89550982738223</v>
      </c>
      <c r="AG308" s="306">
        <f t="shared" ca="1" si="143"/>
        <v>40.113592875487981</v>
      </c>
      <c r="AH308" s="304">
        <f t="shared" ca="1" si="144"/>
        <v>49.85656283809066</v>
      </c>
    </row>
    <row r="309" spans="1:34" x14ac:dyDescent="0.25">
      <c r="A309" s="347">
        <f t="shared" ca="1" si="122"/>
        <v>0.01</v>
      </c>
      <c r="B309" s="304">
        <f t="shared" ca="1" si="123"/>
        <v>3.049999999999979</v>
      </c>
      <c r="D309" s="306">
        <f t="shared" ca="1" si="124"/>
        <v>5.8013158925714228</v>
      </c>
      <c r="E309" s="307">
        <f t="shared" ca="1" si="125"/>
        <v>39.536325428328261</v>
      </c>
      <c r="F309" s="304">
        <f t="shared" ca="1" si="126"/>
        <v>39.959683362860595</v>
      </c>
      <c r="G309" s="306">
        <f t="shared" ca="1" si="127"/>
        <v>22.617821230534222</v>
      </c>
      <c r="H309" s="307">
        <f t="shared" ca="1" si="128"/>
        <v>192.29038350783088</v>
      </c>
      <c r="I309" s="304">
        <f t="shared" ca="1" si="129"/>
        <v>193.61600508946847</v>
      </c>
      <c r="J309" s="306">
        <f t="shared" ca="1" si="130"/>
        <v>35.056514452590996</v>
      </c>
      <c r="K309" s="307">
        <f t="shared" ca="1" si="131"/>
        <v>319.81643684618911</v>
      </c>
      <c r="L309" s="304">
        <f t="shared" ca="1" si="116"/>
        <v>321.73205075428399</v>
      </c>
      <c r="M309" s="306">
        <f t="shared" ca="1" si="132"/>
        <v>1.4537110590097926</v>
      </c>
      <c r="N309" s="304">
        <f t="shared" ca="1" si="133"/>
        <v>83.291508312754488</v>
      </c>
      <c r="P309" s="310">
        <f t="shared" ca="1" si="134"/>
        <v>10</v>
      </c>
      <c r="Q309" s="304">
        <f t="shared" ca="1" si="135"/>
        <v>734.62857142857422</v>
      </c>
      <c r="R309" s="306">
        <f t="shared" ca="1" si="136"/>
        <v>0.3679991511928084</v>
      </c>
      <c r="S309" s="307">
        <f t="shared" ca="1" si="137"/>
        <v>11.079674586421881</v>
      </c>
      <c r="T309" s="304">
        <f t="shared" ca="1" si="117"/>
        <v>108.69160769279866</v>
      </c>
      <c r="U309" s="311">
        <f t="shared" ca="1" si="118"/>
        <v>0</v>
      </c>
      <c r="V309" s="306">
        <f t="shared" ca="1" si="119"/>
        <v>1.186439106858646</v>
      </c>
      <c r="W309" s="304">
        <f t="shared" ca="1" si="120"/>
        <v>184.84855019589696</v>
      </c>
      <c r="Y309" s="314" t="str">
        <f t="shared" ca="1" si="138"/>
        <v/>
      </c>
      <c r="Z309" s="315" t="str">
        <f t="shared" ca="1" si="139"/>
        <v/>
      </c>
      <c r="AA309" s="316" t="str">
        <f t="shared" ca="1" si="140"/>
        <v/>
      </c>
      <c r="AC309" s="310" t="e">
        <f t="shared" ca="1" si="141"/>
        <v>#N/A</v>
      </c>
      <c r="AD309" s="323" t="e">
        <f t="shared" ca="1" si="142"/>
        <v>#N/A</v>
      </c>
      <c r="AE309" s="324">
        <f t="shared" ca="1" si="121"/>
        <v>319.81643684618911</v>
      </c>
      <c r="AG309" s="306">
        <f t="shared" ca="1" si="143"/>
        <v>39.943263963321648</v>
      </c>
      <c r="AH309" s="304">
        <f t="shared" ca="1" si="144"/>
        <v>49.686166076322273</v>
      </c>
    </row>
    <row r="310" spans="1:34" x14ac:dyDescent="0.25">
      <c r="A310" s="347">
        <f t="shared" ca="1" si="122"/>
        <v>0.01</v>
      </c>
      <c r="B310" s="304">
        <f t="shared" ca="1" si="123"/>
        <v>3.0599999999999787</v>
      </c>
      <c r="D310" s="306">
        <f t="shared" ca="1" si="124"/>
        <v>5.7843343672569141</v>
      </c>
      <c r="E310" s="307">
        <f t="shared" ca="1" si="125"/>
        <v>39.366791278011434</v>
      </c>
      <c r="F310" s="304">
        <f t="shared" ca="1" si="126"/>
        <v>39.789480765633854</v>
      </c>
      <c r="G310" s="306">
        <f t="shared" ca="1" si="127"/>
        <v>22.675664574206792</v>
      </c>
      <c r="H310" s="307">
        <f t="shared" ca="1" si="128"/>
        <v>192.68405142061098</v>
      </c>
      <c r="I310" s="304">
        <f t="shared" ca="1" si="129"/>
        <v>194.01373517290622</v>
      </c>
      <c r="J310" s="306">
        <f t="shared" ca="1" si="130"/>
        <v>35.282981881614703</v>
      </c>
      <c r="K310" s="307">
        <f t="shared" ca="1" si="131"/>
        <v>321.7413090208313</v>
      </c>
      <c r="L310" s="304">
        <f t="shared" ca="1" si="116"/>
        <v>323.67013878468373</v>
      </c>
      <c r="M310" s="306">
        <f t="shared" ca="1" si="132"/>
        <v>1.4536519918562119</v>
      </c>
      <c r="N310" s="304">
        <f t="shared" ca="1" si="133"/>
        <v>83.288124014146462</v>
      </c>
      <c r="P310" s="310">
        <f t="shared" ca="1" si="134"/>
        <v>10</v>
      </c>
      <c r="Q310" s="304">
        <f t="shared" ca="1" si="135"/>
        <v>733.28571428571718</v>
      </c>
      <c r="R310" s="306">
        <f t="shared" ca="1" si="136"/>
        <v>0.36732647072819813</v>
      </c>
      <c r="S310" s="307">
        <f t="shared" ca="1" si="137"/>
        <v>11.076001321714598</v>
      </c>
      <c r="T310" s="304">
        <f t="shared" ca="1" si="117"/>
        <v>108.65557296602022</v>
      </c>
      <c r="U310" s="311">
        <f t="shared" ca="1" si="118"/>
        <v>0</v>
      </c>
      <c r="V310" s="306">
        <f t="shared" ca="1" si="119"/>
        <v>1.186210695721674</v>
      </c>
      <c r="W310" s="304">
        <f t="shared" ca="1" si="120"/>
        <v>185.57303674074251</v>
      </c>
      <c r="Y310" s="314" t="str">
        <f t="shared" ca="1" si="138"/>
        <v/>
      </c>
      <c r="Z310" s="315" t="str">
        <f t="shared" ca="1" si="139"/>
        <v/>
      </c>
      <c r="AA310" s="316" t="str">
        <f t="shared" ca="1" si="140"/>
        <v/>
      </c>
      <c r="AC310" s="310" t="e">
        <f t="shared" ca="1" si="141"/>
        <v>#N/A</v>
      </c>
      <c r="AD310" s="323" t="e">
        <f t="shared" ca="1" si="142"/>
        <v>#N/A</v>
      </c>
      <c r="AE310" s="324">
        <f t="shared" ca="1" si="121"/>
        <v>321.7413090208313</v>
      </c>
      <c r="AG310" s="306">
        <f t="shared" ca="1" si="143"/>
        <v>39.772974498773358</v>
      </c>
      <c r="AH310" s="304">
        <f t="shared" ca="1" si="144"/>
        <v>49.515808833879824</v>
      </c>
    </row>
    <row r="311" spans="1:34" x14ac:dyDescent="0.25">
      <c r="A311" s="347">
        <f t="shared" ca="1" si="122"/>
        <v>0.01</v>
      </c>
      <c r="B311" s="304">
        <f t="shared" ca="1" si="123"/>
        <v>3.0699999999999785</v>
      </c>
      <c r="D311" s="306">
        <f t="shared" ca="1" si="124"/>
        <v>5.7673331750215739</v>
      </c>
      <c r="E311" s="307">
        <f t="shared" ca="1" si="125"/>
        <v>39.197301127558013</v>
      </c>
      <c r="F311" s="304">
        <f t="shared" ca="1" si="126"/>
        <v>39.619320383320122</v>
      </c>
      <c r="G311" s="306">
        <f t="shared" ca="1" si="127"/>
        <v>22.733337905957008</v>
      </c>
      <c r="H311" s="307">
        <f t="shared" ca="1" si="128"/>
        <v>193.07602443188657</v>
      </c>
      <c r="I311" s="304">
        <f t="shared" ca="1" si="129"/>
        <v>194.40976277638137</v>
      </c>
      <c r="J311" s="306">
        <f t="shared" ca="1" si="130"/>
        <v>35.510026894015525</v>
      </c>
      <c r="K311" s="307">
        <f t="shared" ca="1" si="131"/>
        <v>323.67010940009379</v>
      </c>
      <c r="L311" s="304">
        <f t="shared" ca="1" si="116"/>
        <v>325.61219530153102</v>
      </c>
      <c r="M311" s="306">
        <f t="shared" ca="1" si="132"/>
        <v>1.4535930154255874</v>
      </c>
      <c r="N311" s="304">
        <f t="shared" ca="1" si="133"/>
        <v>83.284744913580923</v>
      </c>
      <c r="P311" s="310">
        <f t="shared" ca="1" si="134"/>
        <v>10</v>
      </c>
      <c r="Q311" s="304">
        <f t="shared" ca="1" si="135"/>
        <v>731.94285714286002</v>
      </c>
      <c r="R311" s="306">
        <f t="shared" ca="1" si="136"/>
        <v>0.36665379026358774</v>
      </c>
      <c r="S311" s="307">
        <f t="shared" ca="1" si="137"/>
        <v>11.072334783811963</v>
      </c>
      <c r="T311" s="304">
        <f t="shared" ca="1" si="117"/>
        <v>108.61960422919536</v>
      </c>
      <c r="U311" s="311">
        <f t="shared" ca="1" si="118"/>
        <v>0</v>
      </c>
      <c r="V311" s="306">
        <f t="shared" ca="1" si="119"/>
        <v>1.1859818618506579</v>
      </c>
      <c r="W311" s="304">
        <f t="shared" ca="1" si="120"/>
        <v>186.29546076723574</v>
      </c>
      <c r="Y311" s="314" t="str">
        <f t="shared" ca="1" si="138"/>
        <v/>
      </c>
      <c r="Z311" s="315" t="str">
        <f t="shared" ca="1" si="139"/>
        <v/>
      </c>
      <c r="AA311" s="316" t="str">
        <f t="shared" ca="1" si="140"/>
        <v/>
      </c>
      <c r="AC311" s="310" t="e">
        <f t="shared" ca="1" si="141"/>
        <v>#N/A</v>
      </c>
      <c r="AD311" s="323" t="e">
        <f t="shared" ca="1" si="142"/>
        <v>#N/A</v>
      </c>
      <c r="AE311" s="324">
        <f t="shared" ca="1" si="121"/>
        <v>323.67010940009379</v>
      </c>
      <c r="AG311" s="306">
        <f t="shared" ca="1" si="143"/>
        <v>39.602726537523168</v>
      </c>
      <c r="AH311" s="304">
        <f t="shared" ca="1" si="144"/>
        <v>49.345493165626117</v>
      </c>
    </row>
    <row r="312" spans="1:34" x14ac:dyDescent="0.25">
      <c r="A312" s="347">
        <f t="shared" ca="1" si="122"/>
        <v>0.01</v>
      </c>
      <c r="B312" s="304">
        <f t="shared" ca="1" si="123"/>
        <v>3.0799999999999783</v>
      </c>
      <c r="D312" s="306">
        <f t="shared" ca="1" si="124"/>
        <v>5.7503126501536732</v>
      </c>
      <c r="E312" s="307">
        <f t="shared" ca="1" si="125"/>
        <v>39.027856997723617</v>
      </c>
      <c r="F312" s="304">
        <f t="shared" ca="1" si="126"/>
        <v>39.449204268391547</v>
      </c>
      <c r="G312" s="306">
        <f t="shared" ca="1" si="127"/>
        <v>22.790841032458545</v>
      </c>
      <c r="H312" s="307">
        <f t="shared" ca="1" si="128"/>
        <v>193.46630300186379</v>
      </c>
      <c r="I312" s="304">
        <f t="shared" ca="1" si="129"/>
        <v>194.80408833537288</v>
      </c>
      <c r="J312" s="306">
        <f t="shared" ca="1" si="130"/>
        <v>35.737647788707605</v>
      </c>
      <c r="K312" s="307">
        <f t="shared" ca="1" si="131"/>
        <v>325.60282103726257</v>
      </c>
      <c r="L312" s="304">
        <f t="shared" ca="1" si="116"/>
        <v>327.55820328133035</v>
      </c>
      <c r="M312" s="306">
        <f t="shared" ca="1" si="132"/>
        <v>1.4535341288801291</v>
      </c>
      <c r="N312" s="304">
        <f t="shared" ca="1" si="133"/>
        <v>83.281370963056062</v>
      </c>
      <c r="P312" s="310">
        <f t="shared" ca="1" si="134"/>
        <v>10</v>
      </c>
      <c r="Q312" s="304">
        <f t="shared" ca="1" si="135"/>
        <v>730.60000000000286</v>
      </c>
      <c r="R312" s="306">
        <f t="shared" ca="1" si="136"/>
        <v>0.36598110979897736</v>
      </c>
      <c r="S312" s="307">
        <f t="shared" ca="1" si="137"/>
        <v>11.068674972713973</v>
      </c>
      <c r="T312" s="304">
        <f t="shared" ca="1" si="117"/>
        <v>108.58370148232409</v>
      </c>
      <c r="U312" s="311">
        <f t="shared" ca="1" si="118"/>
        <v>0</v>
      </c>
      <c r="V312" s="306">
        <f t="shared" ca="1" si="119"/>
        <v>1.1857526075086129</v>
      </c>
      <c r="W312" s="304">
        <f t="shared" ca="1" si="120"/>
        <v>187.01580370752288</v>
      </c>
      <c r="Y312" s="314" t="str">
        <f t="shared" ca="1" si="138"/>
        <v/>
      </c>
      <c r="Z312" s="315" t="str">
        <f t="shared" ca="1" si="139"/>
        <v/>
      </c>
      <c r="AA312" s="316" t="str">
        <f t="shared" ca="1" si="140"/>
        <v/>
      </c>
      <c r="AC312" s="310" t="e">
        <f t="shared" ca="1" si="141"/>
        <v>#N/A</v>
      </c>
      <c r="AD312" s="323" t="e">
        <f t="shared" ca="1" si="142"/>
        <v>#N/A</v>
      </c>
      <c r="AE312" s="324">
        <f t="shared" ca="1" si="121"/>
        <v>325.60282103726257</v>
      </c>
      <c r="AG312" s="306">
        <f t="shared" ca="1" si="143"/>
        <v>39.432522123774973</v>
      </c>
      <c r="AH312" s="304">
        <f t="shared" ca="1" si="144"/>
        <v>49.175221114954013</v>
      </c>
    </row>
    <row r="313" spans="1:34" x14ac:dyDescent="0.25">
      <c r="A313" s="347">
        <f t="shared" ca="1" si="122"/>
        <v>0.01</v>
      </c>
      <c r="B313" s="304">
        <f t="shared" ca="1" si="123"/>
        <v>3.0899999999999781</v>
      </c>
      <c r="D313" s="306">
        <f t="shared" ca="1" si="124"/>
        <v>5.7332731251248203</v>
      </c>
      <c r="E313" s="307">
        <f t="shared" ca="1" si="125"/>
        <v>38.858460897872646</v>
      </c>
      <c r="F313" s="304">
        <f t="shared" ca="1" si="126"/>
        <v>39.27913446193508</v>
      </c>
      <c r="G313" s="306">
        <f t="shared" ca="1" si="127"/>
        <v>22.848173763709791</v>
      </c>
      <c r="H313" s="307">
        <f t="shared" ca="1" si="128"/>
        <v>193.85488761084252</v>
      </c>
      <c r="I313" s="304">
        <f t="shared" ca="1" si="129"/>
        <v>195.19671230568682</v>
      </c>
      <c r="J313" s="306">
        <f t="shared" ca="1" si="130"/>
        <v>35.965842862688447</v>
      </c>
      <c r="K313" s="307">
        <f t="shared" ca="1" si="131"/>
        <v>327.53942699032609</v>
      </c>
      <c r="L313" s="304">
        <f t="shared" ca="1" si="116"/>
        <v>329.50814570504133</v>
      </c>
      <c r="M313" s="306">
        <f t="shared" ca="1" si="132"/>
        <v>1.4534753313891953</v>
      </c>
      <c r="N313" s="304">
        <f t="shared" ca="1" si="133"/>
        <v>83.2780021149796</v>
      </c>
      <c r="P313" s="310">
        <f t="shared" ca="1" si="134"/>
        <v>10</v>
      </c>
      <c r="Q313" s="304">
        <f t="shared" ca="1" si="135"/>
        <v>729.25714285714582</v>
      </c>
      <c r="R313" s="306">
        <f t="shared" ca="1" si="136"/>
        <v>0.36530842933436702</v>
      </c>
      <c r="S313" s="307">
        <f t="shared" ca="1" si="137"/>
        <v>11.065021888420629</v>
      </c>
      <c r="T313" s="304">
        <f t="shared" ca="1" si="117"/>
        <v>108.54786472540638</v>
      </c>
      <c r="U313" s="311">
        <f t="shared" ca="1" si="118"/>
        <v>0</v>
      </c>
      <c r="V313" s="306">
        <f t="shared" ca="1" si="119"/>
        <v>1.1855229349568595</v>
      </c>
      <c r="W313" s="304">
        <f t="shared" ca="1" si="120"/>
        <v>187.73404714921017</v>
      </c>
      <c r="Y313" s="314" t="str">
        <f t="shared" ca="1" si="138"/>
        <v/>
      </c>
      <c r="Z313" s="315" t="str">
        <f t="shared" ca="1" si="139"/>
        <v/>
      </c>
      <c r="AA313" s="316" t="str">
        <f t="shared" ca="1" si="140"/>
        <v/>
      </c>
      <c r="AC313" s="310" t="e">
        <f t="shared" ca="1" si="141"/>
        <v>#N/A</v>
      </c>
      <c r="AD313" s="323" t="e">
        <f t="shared" ca="1" si="142"/>
        <v>#N/A</v>
      </c>
      <c r="AE313" s="324">
        <f t="shared" ca="1" si="121"/>
        <v>327.53942699032609</v>
      </c>
      <c r="AG313" s="306">
        <f t="shared" ca="1" si="143"/>
        <v>39.262363290223973</v>
      </c>
      <c r="AH313" s="304">
        <f t="shared" ca="1" si="144"/>
        <v>49.004994713753796</v>
      </c>
    </row>
    <row r="314" spans="1:34" x14ac:dyDescent="0.25">
      <c r="A314" s="347">
        <f t="shared" ca="1" si="122"/>
        <v>0.01</v>
      </c>
      <c r="B314" s="304">
        <f t="shared" ca="1" si="123"/>
        <v>3.0999999999999779</v>
      </c>
      <c r="D314" s="306">
        <f t="shared" ca="1" si="124"/>
        <v>5.7162149305920327</v>
      </c>
      <c r="E314" s="307">
        <f t="shared" ca="1" si="125"/>
        <v>38.68911482594649</v>
      </c>
      <c r="F314" s="304">
        <f t="shared" ca="1" si="126"/>
        <v>39.109112993623313</v>
      </c>
      <c r="G314" s="306">
        <f t="shared" ca="1" si="127"/>
        <v>22.905335913015712</v>
      </c>
      <c r="H314" s="307">
        <f t="shared" ca="1" si="128"/>
        <v>194.24177875910198</v>
      </c>
      <c r="I314" s="304">
        <f t="shared" ca="1" si="129"/>
        <v>195.58763516334056</v>
      </c>
      <c r="J314" s="306">
        <f t="shared" ca="1" si="130"/>
        <v>36.194610411072077</v>
      </c>
      <c r="K314" s="307">
        <f t="shared" ca="1" si="131"/>
        <v>329.47991032217584</v>
      </c>
      <c r="L314" s="304">
        <f t="shared" ca="1" si="116"/>
        <v>331.46200555828165</v>
      </c>
      <c r="M314" s="306">
        <f t="shared" ca="1" si="132"/>
        <v>1.4534166221291978</v>
      </c>
      <c r="N314" s="304">
        <f t="shared" ca="1" si="133"/>
        <v>83.274638322163398</v>
      </c>
      <c r="P314" s="310">
        <f t="shared" ca="1" si="134"/>
        <v>10</v>
      </c>
      <c r="Q314" s="304">
        <f t="shared" ca="1" si="135"/>
        <v>727.91428571428867</v>
      </c>
      <c r="R314" s="306">
        <f t="shared" ca="1" si="136"/>
        <v>0.36463574886975664</v>
      </c>
      <c r="S314" s="307">
        <f t="shared" ca="1" si="137"/>
        <v>11.061375530931931</v>
      </c>
      <c r="T314" s="304">
        <f t="shared" ca="1" si="117"/>
        <v>108.51209395844225</v>
      </c>
      <c r="U314" s="311">
        <f t="shared" ca="1" si="118"/>
        <v>0</v>
      </c>
      <c r="V314" s="306">
        <f t="shared" ca="1" si="119"/>
        <v>1.1852928464549912</v>
      </c>
      <c r="W314" s="304">
        <f t="shared" ca="1" si="120"/>
        <v>188.4501728353558</v>
      </c>
      <c r="Y314" s="314" t="str">
        <f t="shared" ca="1" si="138"/>
        <v/>
      </c>
      <c r="Z314" s="315" t="str">
        <f t="shared" ca="1" si="139"/>
        <v/>
      </c>
      <c r="AA314" s="316" t="str">
        <f t="shared" ca="1" si="140"/>
        <v/>
      </c>
      <c r="AC314" s="310" t="e">
        <f t="shared" ca="1" si="141"/>
        <v>#N/A</v>
      </c>
      <c r="AD314" s="323" t="e">
        <f t="shared" ca="1" si="142"/>
        <v>#N/A</v>
      </c>
      <c r="AE314" s="324">
        <f t="shared" ca="1" si="121"/>
        <v>329.47991032217584</v>
      </c>
      <c r="AG314" s="306">
        <f t="shared" ca="1" si="143"/>
        <v>39.092252058025089</v>
      </c>
      <c r="AH314" s="304">
        <f t="shared" ca="1" si="144"/>
        <v>48.834815982381521</v>
      </c>
    </row>
    <row r="315" spans="1:34" x14ac:dyDescent="0.25">
      <c r="A315" s="347">
        <f t="shared" ca="1" si="122"/>
        <v>0.01</v>
      </c>
      <c r="B315" s="304">
        <f t="shared" ca="1" si="123"/>
        <v>3.1099999999999777</v>
      </c>
      <c r="D315" s="306">
        <f t="shared" ca="1" si="124"/>
        <v>5.6991383954000092</v>
      </c>
      <c r="E315" s="307">
        <f t="shared" ca="1" si="125"/>
        <v>38.519820768432645</v>
      </c>
      <c r="F315" s="304">
        <f t="shared" ca="1" si="126"/>
        <v>38.939141881686318</v>
      </c>
      <c r="G315" s="306">
        <f t="shared" ca="1" si="127"/>
        <v>22.962327296969711</v>
      </c>
      <c r="H315" s="307">
        <f t="shared" ca="1" si="128"/>
        <v>194.62697696678632</v>
      </c>
      <c r="I315" s="304">
        <f t="shared" ca="1" si="129"/>
        <v>195.97685740444746</v>
      </c>
      <c r="J315" s="306">
        <f t="shared" ca="1" si="130"/>
        <v>36.423948727122003</v>
      </c>
      <c r="K315" s="307">
        <f t="shared" ca="1" si="131"/>
        <v>331.42425410080529</v>
      </c>
      <c r="L315" s="304">
        <f t="shared" ca="1" si="116"/>
        <v>333.41976583152831</v>
      </c>
      <c r="M315" s="306">
        <f t="shared" ca="1" si="132"/>
        <v>1.4533580002835131</v>
      </c>
      <c r="N315" s="304">
        <f t="shared" ca="1" si="133"/>
        <v>83.271279537818401</v>
      </c>
      <c r="P315" s="310">
        <f t="shared" ca="1" si="134"/>
        <v>10</v>
      </c>
      <c r="Q315" s="304">
        <f t="shared" ca="1" si="135"/>
        <v>726.57142857143162</v>
      </c>
      <c r="R315" s="306">
        <f t="shared" ca="1" si="136"/>
        <v>0.36396306840514631</v>
      </c>
      <c r="S315" s="307">
        <f t="shared" ca="1" si="137"/>
        <v>11.057735900247879</v>
      </c>
      <c r="T315" s="304">
        <f t="shared" ca="1" si="117"/>
        <v>108.4763891814317</v>
      </c>
      <c r="U315" s="311">
        <f t="shared" ca="1" si="118"/>
        <v>0</v>
      </c>
      <c r="V315" s="306">
        <f t="shared" ca="1" si="119"/>
        <v>1.1850623442608457</v>
      </c>
      <c r="W315" s="304">
        <f t="shared" ca="1" si="120"/>
        <v>189.16416266445344</v>
      </c>
      <c r="Y315" s="314" t="str">
        <f t="shared" ca="1" si="138"/>
        <v/>
      </c>
      <c r="Z315" s="315" t="str">
        <f t="shared" ca="1" si="139"/>
        <v/>
      </c>
      <c r="AA315" s="316" t="str">
        <f t="shared" ca="1" si="140"/>
        <v/>
      </c>
      <c r="AC315" s="310" t="e">
        <f t="shared" ca="1" si="141"/>
        <v>#N/A</v>
      </c>
      <c r="AD315" s="323" t="e">
        <f t="shared" ca="1" si="142"/>
        <v>#N/A</v>
      </c>
      <c r="AE315" s="324">
        <f t="shared" ca="1" si="121"/>
        <v>331.42425410080529</v>
      </c>
      <c r="AG315" s="306">
        <f t="shared" ca="1" si="143"/>
        <v>38.922190436762456</v>
      </c>
      <c r="AH315" s="304">
        <f t="shared" ca="1" si="144"/>
        <v>48.664686929628409</v>
      </c>
    </row>
    <row r="316" spans="1:34" x14ac:dyDescent="0.25">
      <c r="A316" s="347">
        <f t="shared" ca="1" si="122"/>
        <v>0.01</v>
      </c>
      <c r="B316" s="304">
        <f t="shared" ca="1" si="123"/>
        <v>3.1199999999999775</v>
      </c>
      <c r="D316" s="306">
        <f t="shared" ca="1" si="124"/>
        <v>5.6820438465831593</v>
      </c>
      <c r="E316" s="307">
        <f t="shared" ca="1" si="125"/>
        <v>38.35058070033476</v>
      </c>
      <c r="F316" s="304">
        <f t="shared" ca="1" si="126"/>
        <v>38.769223132884449</v>
      </c>
      <c r="G316" s="306">
        <f t="shared" ca="1" si="127"/>
        <v>23.019147735435542</v>
      </c>
      <c r="H316" s="307">
        <f t="shared" ca="1" si="128"/>
        <v>195.01048277378968</v>
      </c>
      <c r="I316" s="304">
        <f t="shared" ca="1" si="129"/>
        <v>196.3643795451006</v>
      </c>
      <c r="J316" s="306">
        <f t="shared" ca="1" si="130"/>
        <v>36.653856102284031</v>
      </c>
      <c r="K316" s="307">
        <f t="shared" ca="1" si="131"/>
        <v>333.37244139950815</v>
      </c>
      <c r="L316" s="304">
        <f t="shared" ca="1" si="116"/>
        <v>335.3814095203183</v>
      </c>
      <c r="M316" s="306">
        <f t="shared" ca="1" si="132"/>
        <v>1.4532994650423936</v>
      </c>
      <c r="N316" s="304">
        <f t="shared" ca="1" si="133"/>
        <v>83.267925715549481</v>
      </c>
      <c r="P316" s="310">
        <f t="shared" ca="1" si="134"/>
        <v>10</v>
      </c>
      <c r="Q316" s="304">
        <f t="shared" ca="1" si="135"/>
        <v>725.22857142857447</v>
      </c>
      <c r="R316" s="306">
        <f t="shared" ca="1" si="136"/>
        <v>0.36329038794053592</v>
      </c>
      <c r="S316" s="307">
        <f t="shared" ca="1" si="137"/>
        <v>11.054102996368474</v>
      </c>
      <c r="T316" s="304">
        <f t="shared" ca="1" si="117"/>
        <v>108.44075039437473</v>
      </c>
      <c r="U316" s="311">
        <f t="shared" ca="1" si="118"/>
        <v>0</v>
      </c>
      <c r="V316" s="306">
        <f t="shared" ca="1" si="119"/>
        <v>1.1848314306304726</v>
      </c>
      <c r="W316" s="304">
        <f t="shared" ca="1" si="120"/>
        <v>189.87599869040426</v>
      </c>
      <c r="Y316" s="314" t="str">
        <f t="shared" ca="1" si="138"/>
        <v/>
      </c>
      <c r="Z316" s="315" t="str">
        <f t="shared" ca="1" si="139"/>
        <v/>
      </c>
      <c r="AA316" s="316" t="str">
        <f t="shared" ca="1" si="140"/>
        <v/>
      </c>
      <c r="AC316" s="310" t="e">
        <f t="shared" ca="1" si="141"/>
        <v>#N/A</v>
      </c>
      <c r="AD316" s="323" t="e">
        <f t="shared" ca="1" si="142"/>
        <v>#N/A</v>
      </c>
      <c r="AE316" s="324">
        <f t="shared" ca="1" si="121"/>
        <v>333.37244139950815</v>
      </c>
      <c r="AG316" s="306">
        <f t="shared" ca="1" si="143"/>
        <v>38.752180424419649</v>
      </c>
      <c r="AH316" s="304">
        <f t="shared" ca="1" si="144"/>
        <v>48.494609552691017</v>
      </c>
    </row>
    <row r="317" spans="1:34" x14ac:dyDescent="0.25">
      <c r="A317" s="347">
        <f t="shared" ca="1" si="122"/>
        <v>0.01</v>
      </c>
      <c r="B317" s="304">
        <f t="shared" ca="1" si="123"/>
        <v>3.1299999999999772</v>
      </c>
      <c r="D317" s="306">
        <f t="shared" ca="1" si="124"/>
        <v>5.6649316093677173</v>
      </c>
      <c r="E317" s="307">
        <f t="shared" ca="1" si="125"/>
        <v>38.181396585143716</v>
      </c>
      <c r="F317" s="304">
        <f t="shared" ca="1" si="126"/>
        <v>38.59935874248221</v>
      </c>
      <c r="G317" s="306">
        <f t="shared" ca="1" si="127"/>
        <v>23.075797051529218</v>
      </c>
      <c r="H317" s="307">
        <f t="shared" ca="1" si="128"/>
        <v>195.39229673964113</v>
      </c>
      <c r="I317" s="304">
        <f t="shared" ca="1" si="129"/>
        <v>196.75020212125662</v>
      </c>
      <c r="J317" s="306">
        <f t="shared" ca="1" si="130"/>
        <v>36.884330826218857</v>
      </c>
      <c r="K317" s="307">
        <f t="shared" ca="1" si="131"/>
        <v>335.3244552970753</v>
      </c>
      <c r="L317" s="304">
        <f t="shared" ca="1" si="116"/>
        <v>337.34691962544764</v>
      </c>
      <c r="M317" s="306">
        <f t="shared" ca="1" si="132"/>
        <v>1.4532410156028777</v>
      </c>
      <c r="N317" s="304">
        <f t="shared" ca="1" si="133"/>
        <v>83.264576809350302</v>
      </c>
      <c r="P317" s="310">
        <f t="shared" ca="1" si="134"/>
        <v>10</v>
      </c>
      <c r="Q317" s="304">
        <f t="shared" ca="1" si="135"/>
        <v>723.88571428571731</v>
      </c>
      <c r="R317" s="306">
        <f t="shared" ca="1" si="136"/>
        <v>0.36261770747592553</v>
      </c>
      <c r="S317" s="307">
        <f t="shared" ca="1" si="137"/>
        <v>11.050476819293715</v>
      </c>
      <c r="T317" s="304">
        <f t="shared" ca="1" si="117"/>
        <v>108.40517759727135</v>
      </c>
      <c r="U317" s="311">
        <f t="shared" ca="1" si="118"/>
        <v>0</v>
      </c>
      <c r="V317" s="306">
        <f t="shared" ca="1" si="119"/>
        <v>1.1846001078181061</v>
      </c>
      <c r="W317" s="304">
        <f t="shared" ca="1" si="120"/>
        <v>190.58566312248107</v>
      </c>
      <c r="Y317" s="314" t="str">
        <f t="shared" ca="1" si="138"/>
        <v/>
      </c>
      <c r="Z317" s="315" t="str">
        <f t="shared" ca="1" si="139"/>
        <v/>
      </c>
      <c r="AA317" s="316" t="str">
        <f t="shared" ca="1" si="140"/>
        <v/>
      </c>
      <c r="AC317" s="310" t="e">
        <f t="shared" ca="1" si="141"/>
        <v>#N/A</v>
      </c>
      <c r="AD317" s="323" t="e">
        <f t="shared" ca="1" si="142"/>
        <v>#N/A</v>
      </c>
      <c r="AE317" s="324">
        <f t="shared" ca="1" si="121"/>
        <v>335.3244552970753</v>
      </c>
      <c r="AG317" s="306">
        <f t="shared" ca="1" si="143"/>
        <v>38.582224007351051</v>
      </c>
      <c r="AH317" s="304">
        <f t="shared" ca="1" si="144"/>
        <v>48.324585837142543</v>
      </c>
    </row>
    <row r="318" spans="1:34" x14ac:dyDescent="0.25">
      <c r="A318" s="347">
        <f t="shared" ca="1" si="122"/>
        <v>0.01</v>
      </c>
      <c r="B318" s="304">
        <f t="shared" ca="1" si="123"/>
        <v>3.139999999999977</v>
      </c>
      <c r="D318" s="306">
        <f t="shared" ca="1" si="124"/>
        <v>5.6478020071738841</v>
      </c>
      <c r="E318" s="307">
        <f t="shared" ca="1" si="125"/>
        <v>38.012270374809461</v>
      </c>
      <c r="F318" s="304">
        <f t="shared" ca="1" si="126"/>
        <v>38.429550694222989</v>
      </c>
      <c r="G318" s="306">
        <f t="shared" ca="1" si="127"/>
        <v>23.132275071600958</v>
      </c>
      <c r="H318" s="307">
        <f t="shared" ca="1" si="128"/>
        <v>195.77241944338923</v>
      </c>
      <c r="I318" s="304">
        <f t="shared" ca="1" si="129"/>
        <v>197.13432568861907</v>
      </c>
      <c r="J318" s="306">
        <f t="shared" ca="1" si="130"/>
        <v>37.115371186834508</v>
      </c>
      <c r="K318" s="307">
        <f t="shared" ca="1" si="131"/>
        <v>337.28027887799044</v>
      </c>
      <c r="L318" s="304">
        <f t="shared" ca="1" si="116"/>
        <v>339.31627915316932</v>
      </c>
      <c r="M318" s="306">
        <f t="shared" ca="1" si="132"/>
        <v>1.4531826511687047</v>
      </c>
      <c r="N318" s="304">
        <f t="shared" ca="1" si="133"/>
        <v>83.261232773598522</v>
      </c>
      <c r="P318" s="310">
        <f t="shared" ca="1" si="134"/>
        <v>10</v>
      </c>
      <c r="Q318" s="304">
        <f t="shared" ca="1" si="135"/>
        <v>722.54285714286027</v>
      </c>
      <c r="R318" s="306">
        <f t="shared" ca="1" si="136"/>
        <v>0.36194502701131526</v>
      </c>
      <c r="S318" s="307">
        <f t="shared" ca="1" si="137"/>
        <v>11.046857369023602</v>
      </c>
      <c r="T318" s="304">
        <f t="shared" ca="1" si="117"/>
        <v>108.36967079012155</v>
      </c>
      <c r="U318" s="311">
        <f t="shared" ca="1" si="118"/>
        <v>0</v>
      </c>
      <c r="V318" s="306">
        <f t="shared" ca="1" si="119"/>
        <v>1.1843683780761336</v>
      </c>
      <c r="W318" s="304">
        <f t="shared" ca="1" si="120"/>
        <v>191.29313832528103</v>
      </c>
      <c r="Y318" s="314" t="str">
        <f t="shared" ca="1" si="138"/>
        <v/>
      </c>
      <c r="Z318" s="315" t="str">
        <f t="shared" ca="1" si="139"/>
        <v/>
      </c>
      <c r="AA318" s="316" t="str">
        <f t="shared" ca="1" si="140"/>
        <v/>
      </c>
      <c r="AC318" s="310" t="e">
        <f t="shared" ca="1" si="141"/>
        <v>#N/A</v>
      </c>
      <c r="AD318" s="323" t="e">
        <f t="shared" ca="1" si="142"/>
        <v>#N/A</v>
      </c>
      <c r="AE318" s="324">
        <f t="shared" ca="1" si="121"/>
        <v>337.28027887799044</v>
      </c>
      <c r="AG318" s="306">
        <f t="shared" ca="1" si="143"/>
        <v>38.412323160254012</v>
      </c>
      <c r="AH318" s="304">
        <f t="shared" ca="1" si="144"/>
        <v>48.154617756904855</v>
      </c>
    </row>
    <row r="319" spans="1:34" x14ac:dyDescent="0.25">
      <c r="A319" s="347">
        <f t="shared" ca="1" si="122"/>
        <v>0.01</v>
      </c>
      <c r="B319" s="304">
        <f t="shared" ca="1" si="123"/>
        <v>3.1499999999999768</v>
      </c>
      <c r="D319" s="306">
        <f t="shared" ca="1" si="124"/>
        <v>5.6306553616178618</v>
      </c>
      <c r="E319" s="307">
        <f t="shared" ca="1" si="125"/>
        <v>37.843204009713965</v>
      </c>
      <c r="F319" s="304">
        <f t="shared" ca="1" si="126"/>
        <v>38.259800960304894</v>
      </c>
      <c r="G319" s="306">
        <f t="shared" ca="1" si="127"/>
        <v>23.188581625217136</v>
      </c>
      <c r="H319" s="307">
        <f t="shared" ca="1" si="128"/>
        <v>196.15085148348638</v>
      </c>
      <c r="I319" s="304">
        <f t="shared" ca="1" si="129"/>
        <v>197.5167508225216</v>
      </c>
      <c r="J319" s="306">
        <f t="shared" ca="1" si="130"/>
        <v>37.346975470318597</v>
      </c>
      <c r="K319" s="307">
        <f t="shared" ca="1" si="131"/>
        <v>339.2398952326248</v>
      </c>
      <c r="L319" s="304">
        <f t="shared" ca="1" si="116"/>
        <v>341.28947111539026</v>
      </c>
      <c r="M319" s="306">
        <f t="shared" ca="1" si="132"/>
        <v>1.4531243709502297</v>
      </c>
      <c r="N319" s="304">
        <f t="shared" ca="1" si="133"/>
        <v>83.257893563050814</v>
      </c>
      <c r="P319" s="310">
        <f t="shared" ca="1" si="134"/>
        <v>10</v>
      </c>
      <c r="Q319" s="304">
        <f t="shared" ca="1" si="135"/>
        <v>721.20000000000312</v>
      </c>
      <c r="R319" s="306">
        <f t="shared" ca="1" si="136"/>
        <v>0.36127234654670487</v>
      </c>
      <c r="S319" s="307">
        <f t="shared" ca="1" si="137"/>
        <v>11.043244645558135</v>
      </c>
      <c r="T319" s="304">
        <f t="shared" ca="1" si="117"/>
        <v>108.3342299729253</v>
      </c>
      <c r="U319" s="311">
        <f t="shared" ca="1" si="118"/>
        <v>0</v>
      </c>
      <c r="V319" s="306">
        <f t="shared" ca="1" si="119"/>
        <v>1.1841362436550666</v>
      </c>
      <c r="W319" s="304">
        <f t="shared" ca="1" si="120"/>
        <v>191.99840681867013</v>
      </c>
      <c r="Y319" s="314" t="str">
        <f t="shared" ca="1" si="138"/>
        <v/>
      </c>
      <c r="Z319" s="315" t="str">
        <f t="shared" ca="1" si="139"/>
        <v/>
      </c>
      <c r="AA319" s="316" t="str">
        <f t="shared" ca="1" si="140"/>
        <v/>
      </c>
      <c r="AC319" s="310" t="e">
        <f t="shared" ca="1" si="141"/>
        <v>#N/A</v>
      </c>
      <c r="AD319" s="323" t="e">
        <f t="shared" ca="1" si="142"/>
        <v>#N/A</v>
      </c>
      <c r="AE319" s="324">
        <f t="shared" ca="1" si="121"/>
        <v>339.2398952326248</v>
      </c>
      <c r="AG319" s="306">
        <f t="shared" ca="1" si="143"/>
        <v>38.242479846141961</v>
      </c>
      <c r="AH319" s="304">
        <f t="shared" ca="1" si="144"/>
        <v>47.984707274221599</v>
      </c>
    </row>
    <row r="320" spans="1:34" x14ac:dyDescent="0.25">
      <c r="A320" s="347">
        <f t="shared" ca="1" si="122"/>
        <v>0.01</v>
      </c>
      <c r="B320" s="304">
        <f t="shared" ca="1" si="123"/>
        <v>3.1599999999999766</v>
      </c>
      <c r="D320" s="306">
        <f t="shared" ca="1" si="124"/>
        <v>5.6134919925139188</v>
      </c>
      <c r="E320" s="307">
        <f t="shared" ca="1" si="125"/>
        <v>37.674199418644967</v>
      </c>
      <c r="F320" s="304">
        <f t="shared" ca="1" si="126"/>
        <v>38.090111501357498</v>
      </c>
      <c r="G320" s="306">
        <f t="shared" ca="1" si="127"/>
        <v>23.244716545142275</v>
      </c>
      <c r="H320" s="307">
        <f t="shared" ca="1" si="128"/>
        <v>196.52759347767284</v>
      </c>
      <c r="I320" s="304">
        <f t="shared" ca="1" si="129"/>
        <v>197.89747811781092</v>
      </c>
      <c r="J320" s="306">
        <f t="shared" ca="1" si="130"/>
        <v>37.579141961170393</v>
      </c>
      <c r="K320" s="307">
        <f t="shared" ca="1" si="131"/>
        <v>341.20328745743058</v>
      </c>
      <c r="L320" s="304">
        <f t="shared" ca="1" si="116"/>
        <v>343.26647852986724</v>
      </c>
      <c r="M320" s="306">
        <f t="shared" ca="1" si="132"/>
        <v>1.4530661741643396</v>
      </c>
      <c r="N320" s="304">
        <f t="shared" ca="1" si="133"/>
        <v>83.254559132838082</v>
      </c>
      <c r="P320" s="310">
        <f t="shared" ca="1" si="134"/>
        <v>10</v>
      </c>
      <c r="Q320" s="304">
        <f t="shared" ca="1" si="135"/>
        <v>719.85714285714596</v>
      </c>
      <c r="R320" s="306">
        <f t="shared" ca="1" si="136"/>
        <v>0.36059966608209448</v>
      </c>
      <c r="S320" s="307">
        <f t="shared" ca="1" si="137"/>
        <v>11.039638648897313</v>
      </c>
      <c r="T320" s="304">
        <f t="shared" ca="1" si="117"/>
        <v>108.29885514568265</v>
      </c>
      <c r="U320" s="311">
        <f t="shared" ca="1" si="118"/>
        <v>0</v>
      </c>
      <c r="V320" s="306">
        <f t="shared" ca="1" si="119"/>
        <v>1.183903706803513</v>
      </c>
      <c r="W320" s="304">
        <f t="shared" ca="1" si="120"/>
        <v>192.70145127771735</v>
      </c>
      <c r="Y320" s="314" t="str">
        <f t="shared" ca="1" si="138"/>
        <v/>
      </c>
      <c r="Z320" s="315" t="str">
        <f t="shared" ca="1" si="139"/>
        <v/>
      </c>
      <c r="AA320" s="316" t="str">
        <f t="shared" ca="1" si="140"/>
        <v/>
      </c>
      <c r="AC320" s="310" t="e">
        <f t="shared" ca="1" si="141"/>
        <v>#N/A</v>
      </c>
      <c r="AD320" s="323" t="e">
        <f t="shared" ca="1" si="142"/>
        <v>#N/A</v>
      </c>
      <c r="AE320" s="324">
        <f t="shared" ca="1" si="121"/>
        <v>341.20328745743058</v>
      </c>
      <c r="AG320" s="306">
        <f t="shared" ca="1" si="143"/>
        <v>38.072696016318496</v>
      </c>
      <c r="AH320" s="304">
        <f t="shared" ca="1" si="144"/>
        <v>47.814856339632158</v>
      </c>
    </row>
    <row r="321" spans="1:34" x14ac:dyDescent="0.25">
      <c r="A321" s="347">
        <f t="shared" ca="1" si="122"/>
        <v>0.01</v>
      </c>
      <c r="B321" s="304">
        <f t="shared" ca="1" si="123"/>
        <v>3.1699999999999764</v>
      </c>
      <c r="D321" s="306">
        <f t="shared" ca="1" si="124"/>
        <v>5.5963122178764415</v>
      </c>
      <c r="E321" s="307">
        <f t="shared" ca="1" si="125"/>
        <v>37.505258518770781</v>
      </c>
      <c r="F321" s="304">
        <f t="shared" ca="1" si="126"/>
        <v>37.920484266419663</v>
      </c>
      <c r="G321" s="306">
        <f t="shared" ca="1" si="127"/>
        <v>23.300679667321038</v>
      </c>
      <c r="H321" s="307">
        <f t="shared" ca="1" si="128"/>
        <v>196.90264606286055</v>
      </c>
      <c r="I321" s="304">
        <f t="shared" ca="1" si="129"/>
        <v>198.27650818872931</v>
      </c>
      <c r="J321" s="306">
        <f t="shared" ca="1" si="130"/>
        <v>37.811868942232707</v>
      </c>
      <c r="K321" s="307">
        <f t="shared" ca="1" si="131"/>
        <v>343.17043865513324</v>
      </c>
      <c r="L321" s="304">
        <f t="shared" ca="1" si="116"/>
        <v>345.24728442040083</v>
      </c>
      <c r="M321" s="306">
        <f t="shared" ca="1" si="132"/>
        <v>1.4530080600343696</v>
      </c>
      <c r="N321" s="304">
        <f t="shared" ca="1" si="133"/>
        <v>83.251229438460726</v>
      </c>
      <c r="P321" s="310">
        <f t="shared" ca="1" si="134"/>
        <v>10</v>
      </c>
      <c r="Q321" s="304">
        <f t="shared" ca="1" si="135"/>
        <v>718.51428571428892</v>
      </c>
      <c r="R321" s="306">
        <f t="shared" ca="1" si="136"/>
        <v>0.35992698561748415</v>
      </c>
      <c r="S321" s="307">
        <f t="shared" ca="1" si="137"/>
        <v>11.036039379041139</v>
      </c>
      <c r="T321" s="304">
        <f t="shared" ca="1" si="117"/>
        <v>108.26354630839357</v>
      </c>
      <c r="U321" s="311">
        <f t="shared" ca="1" si="118"/>
        <v>0</v>
      </c>
      <c r="V321" s="306">
        <f t="shared" ca="1" si="119"/>
        <v>1.1836707697681437</v>
      </c>
      <c r="W321" s="304">
        <f t="shared" ca="1" si="120"/>
        <v>193.4022545326192</v>
      </c>
      <c r="Y321" s="314" t="str">
        <f t="shared" ca="1" si="138"/>
        <v/>
      </c>
      <c r="Z321" s="315" t="str">
        <f t="shared" ca="1" si="139"/>
        <v/>
      </c>
      <c r="AA321" s="316" t="str">
        <f t="shared" ca="1" si="140"/>
        <v/>
      </c>
      <c r="AC321" s="310" t="e">
        <f t="shared" ca="1" si="141"/>
        <v>#N/A</v>
      </c>
      <c r="AD321" s="323" t="e">
        <f t="shared" ca="1" si="142"/>
        <v>#N/A</v>
      </c>
      <c r="AE321" s="324">
        <f t="shared" ca="1" si="121"/>
        <v>343.17043865513324</v>
      </c>
      <c r="AG321" s="306">
        <f t="shared" ca="1" si="143"/>
        <v>37.902973610352326</v>
      </c>
      <c r="AH321" s="304">
        <f t="shared" ca="1" si="144"/>
        <v>47.645066891946577</v>
      </c>
    </row>
    <row r="322" spans="1:34" x14ac:dyDescent="0.25">
      <c r="A322" s="347">
        <f t="shared" ca="1" si="122"/>
        <v>0.01</v>
      </c>
      <c r="B322" s="304">
        <f t="shared" ca="1" si="123"/>
        <v>3.1799999999999762</v>
      </c>
      <c r="D322" s="306">
        <f t="shared" ca="1" si="124"/>
        <v>5.5791163539220205</v>
      </c>
      <c r="E322" s="307">
        <f t="shared" ca="1" si="125"/>
        <v>37.33638321561584</v>
      </c>
      <c r="F322" s="304">
        <f t="shared" ca="1" si="126"/>
        <v>37.750921192918199</v>
      </c>
      <c r="G322" s="306">
        <f t="shared" ca="1" si="127"/>
        <v>23.356470830860257</v>
      </c>
      <c r="H322" s="307">
        <f t="shared" ca="1" si="128"/>
        <v>197.2760098950167</v>
      </c>
      <c r="I322" s="304">
        <f t="shared" ca="1" si="129"/>
        <v>198.65384166879721</v>
      </c>
      <c r="J322" s="306">
        <f t="shared" ca="1" si="130"/>
        <v>38.045154694723614</v>
      </c>
      <c r="K322" s="307">
        <f t="shared" ca="1" si="131"/>
        <v>345.14133193492262</v>
      </c>
      <c r="L322" s="304">
        <f t="shared" ca="1" si="116"/>
        <v>347.23187181702934</v>
      </c>
      <c r="M322" s="306">
        <f t="shared" ca="1" si="132"/>
        <v>1.4529500277900225</v>
      </c>
      <c r="N322" s="304">
        <f t="shared" ca="1" si="133"/>
        <v>83.247904435783965</v>
      </c>
      <c r="P322" s="310">
        <f t="shared" ca="1" si="134"/>
        <v>10</v>
      </c>
      <c r="Q322" s="304">
        <f t="shared" ca="1" si="135"/>
        <v>717.17142857143176</v>
      </c>
      <c r="R322" s="306">
        <f t="shared" ca="1" si="136"/>
        <v>0.35925430515287377</v>
      </c>
      <c r="S322" s="307">
        <f t="shared" ca="1" si="137"/>
        <v>11.03244683598961</v>
      </c>
      <c r="T322" s="304">
        <f t="shared" ca="1" si="117"/>
        <v>108.22830346105808</v>
      </c>
      <c r="U322" s="311">
        <f t="shared" ca="1" si="118"/>
        <v>0</v>
      </c>
      <c r="V322" s="306">
        <f t="shared" ca="1" si="119"/>
        <v>1.1834374347936694</v>
      </c>
      <c r="W322" s="304">
        <f t="shared" ca="1" si="120"/>
        <v>194.10079956861603</v>
      </c>
      <c r="Y322" s="314" t="str">
        <f t="shared" ca="1" si="138"/>
        <v/>
      </c>
      <c r="Z322" s="315" t="str">
        <f t="shared" ca="1" si="139"/>
        <v/>
      </c>
      <c r="AA322" s="316" t="str">
        <f t="shared" ca="1" si="140"/>
        <v/>
      </c>
      <c r="AC322" s="310" t="e">
        <f t="shared" ca="1" si="141"/>
        <v>#N/A</v>
      </c>
      <c r="AD322" s="323" t="e">
        <f t="shared" ca="1" si="142"/>
        <v>#N/A</v>
      </c>
      <c r="AE322" s="324">
        <f t="shared" ca="1" si="121"/>
        <v>345.14133193492262</v>
      </c>
      <c r="AG322" s="306">
        <f t="shared" ca="1" si="143"/>
        <v>37.733314556053202</v>
      </c>
      <c r="AH322" s="304">
        <f t="shared" ca="1" si="144"/>
        <v>47.475340858221365</v>
      </c>
    </row>
    <row r="323" spans="1:34" x14ac:dyDescent="0.25">
      <c r="A323" s="347">
        <f t="shared" ca="1" si="122"/>
        <v>0.01</v>
      </c>
      <c r="B323" s="304">
        <f t="shared" ca="1" si="123"/>
        <v>3.189999999999976</v>
      </c>
      <c r="D323" s="306">
        <f t="shared" ca="1" si="124"/>
        <v>5.5619047150714751</v>
      </c>
      <c r="E323" s="307">
        <f t="shared" ca="1" si="125"/>
        <v>37.167575403037333</v>
      </c>
      <c r="F323" s="304">
        <f t="shared" ca="1" si="126"/>
        <v>37.581424206647625</v>
      </c>
      <c r="G323" s="306">
        <f t="shared" ca="1" si="127"/>
        <v>23.412089878010971</v>
      </c>
      <c r="H323" s="307">
        <f t="shared" ca="1" si="128"/>
        <v>197.64768564904708</v>
      </c>
      <c r="I323" s="304">
        <f t="shared" ca="1" si="129"/>
        <v>199.02947921069531</v>
      </c>
      <c r="J323" s="306">
        <f t="shared" ca="1" si="130"/>
        <v>38.278997498267969</v>
      </c>
      <c r="K323" s="307">
        <f t="shared" ca="1" si="131"/>
        <v>347.11595041264292</v>
      </c>
      <c r="L323" s="304">
        <f t="shared" ca="1" si="116"/>
        <v>349.22022375622061</v>
      </c>
      <c r="M323" s="306">
        <f t="shared" ca="1" si="132"/>
        <v>1.4528920766672893</v>
      </c>
      <c r="N323" s="304">
        <f t="shared" ca="1" si="133"/>
        <v>83.24458408103331</v>
      </c>
      <c r="P323" s="310">
        <f t="shared" ca="1" si="134"/>
        <v>10</v>
      </c>
      <c r="Q323" s="304">
        <f t="shared" ca="1" si="135"/>
        <v>715.82857142857461</v>
      </c>
      <c r="R323" s="306">
        <f t="shared" ca="1" si="136"/>
        <v>0.35858162468826338</v>
      </c>
      <c r="S323" s="307">
        <f t="shared" ca="1" si="137"/>
        <v>11.028861019742727</v>
      </c>
      <c r="T323" s="304">
        <f t="shared" ca="1" si="117"/>
        <v>108.19312660367616</v>
      </c>
      <c r="U323" s="311">
        <f t="shared" ca="1" si="118"/>
        <v>0</v>
      </c>
      <c r="V323" s="306">
        <f t="shared" ca="1" si="119"/>
        <v>1.1832037041228081</v>
      </c>
      <c r="W323" s="304">
        <f t="shared" ca="1" si="120"/>
        <v>194.79706952589802</v>
      </c>
      <c r="Y323" s="314" t="str">
        <f t="shared" ca="1" si="138"/>
        <v/>
      </c>
      <c r="Z323" s="315" t="str">
        <f t="shared" ca="1" si="139"/>
        <v/>
      </c>
      <c r="AA323" s="316" t="str">
        <f t="shared" ca="1" si="140"/>
        <v/>
      </c>
      <c r="AC323" s="310" t="e">
        <f t="shared" ca="1" si="141"/>
        <v>#N/A</v>
      </c>
      <c r="AD323" s="323" t="e">
        <f t="shared" ca="1" si="142"/>
        <v>#N/A</v>
      </c>
      <c r="AE323" s="324">
        <f t="shared" ca="1" si="121"/>
        <v>347.11595041264292</v>
      </c>
      <c r="AG323" s="306">
        <f t="shared" ca="1" si="143"/>
        <v>37.563720769448658</v>
      </c>
      <c r="AH323" s="304">
        <f t="shared" ca="1" si="144"/>
        <v>47.305680153736219</v>
      </c>
    </row>
    <row r="324" spans="1:34" x14ac:dyDescent="0.25">
      <c r="A324" s="347">
        <f t="shared" ca="1" si="122"/>
        <v>0.01</v>
      </c>
      <c r="B324" s="304">
        <f t="shared" ca="1" si="123"/>
        <v>3.1999999999999758</v>
      </c>
      <c r="D324" s="306">
        <f t="shared" ca="1" si="124"/>
        <v>5.5446776139518485</v>
      </c>
      <c r="E324" s="307">
        <f t="shared" ca="1" si="125"/>
        <v>36.998836963202635</v>
      </c>
      <c r="F324" s="304">
        <f t="shared" ca="1" si="126"/>
        <v>37.41199522175085</v>
      </c>
      <c r="G324" s="306">
        <f t="shared" ca="1" si="127"/>
        <v>23.467536654150489</v>
      </c>
      <c r="H324" s="307">
        <f t="shared" ca="1" si="128"/>
        <v>198.01767401867912</v>
      </c>
      <c r="I324" s="304">
        <f t="shared" ca="1" si="129"/>
        <v>199.40342148614644</v>
      </c>
      <c r="J324" s="306">
        <f t="shared" ca="1" si="130"/>
        <v>38.513395630928777</v>
      </c>
      <c r="K324" s="307">
        <f t="shared" ca="1" si="131"/>
        <v>349.09427721098155</v>
      </c>
      <c r="L324" s="304">
        <f t="shared" ref="L324:L387" ca="1" si="145">SQRT(pos_x^2+pos_z^2)</f>
        <v>351.21232328106322</v>
      </c>
      <c r="M324" s="306">
        <f t="shared" ca="1" si="132"/>
        <v>1.452834205908369</v>
      </c>
      <c r="N324" s="304">
        <f t="shared" ca="1" si="133"/>
        <v>83.24126833078995</v>
      </c>
      <c r="P324" s="310">
        <f t="shared" ca="1" si="134"/>
        <v>10</v>
      </c>
      <c r="Q324" s="304">
        <f t="shared" ca="1" si="135"/>
        <v>714.48571428571756</v>
      </c>
      <c r="R324" s="306">
        <f t="shared" ca="1" si="136"/>
        <v>0.35790894422365305</v>
      </c>
      <c r="S324" s="307">
        <f t="shared" ca="1" si="137"/>
        <v>11.025281930300491</v>
      </c>
      <c r="T324" s="304">
        <f t="shared" ref="T324:T387" ca="1" si="146">m*g</f>
        <v>108.15801573624782</v>
      </c>
      <c r="U324" s="311">
        <f t="shared" ref="U324:U387" ca="1" si="147">IF(pos_xz&lt;L_rampe,Poids*COS(Beta),0)</f>
        <v>0</v>
      </c>
      <c r="V324" s="306">
        <f t="shared" ref="V324:V387" ca="1" si="148">Rho_moyen*(20000-Alt_rampe-pos_z)/(20000+Alt_rampe+pos_z)</f>
        <v>1.182969579996259</v>
      </c>
      <c r="W324" s="304">
        <f t="shared" ref="W324:W387" ca="1" si="149">1/2*Rho*Sref*Cx*vit_xz^2</f>
        <v>195.49104769950202</v>
      </c>
      <c r="Y324" s="314" t="str">
        <f t="shared" ca="1" si="138"/>
        <v/>
      </c>
      <c r="Z324" s="315" t="str">
        <f t="shared" ca="1" si="139"/>
        <v/>
      </c>
      <c r="AA324" s="316" t="str">
        <f t="shared" ca="1" si="140"/>
        <v/>
      </c>
      <c r="AC324" s="310" t="e">
        <f t="shared" ca="1" si="141"/>
        <v>#N/A</v>
      </c>
      <c r="AD324" s="323" t="e">
        <f t="shared" ca="1" si="142"/>
        <v>#N/A</v>
      </c>
      <c r="AE324" s="324">
        <f t="shared" ref="AE324:AE387" ca="1" si="150">IF(t&lt;T_para, pos_z, NA())</f>
        <v>349.09427721098155</v>
      </c>
      <c r="AG324" s="306">
        <f t="shared" ca="1" si="143"/>
        <v>37.394194154761735</v>
      </c>
      <c r="AH324" s="304">
        <f t="shared" ca="1" si="144"/>
        <v>47.136086681971641</v>
      </c>
    </row>
    <row r="325" spans="1:34" x14ac:dyDescent="0.25">
      <c r="A325" s="347">
        <f t="shared" ref="A325:A388" ca="1" si="151">IF(B324+0.01&lt;=T_ini+ROUNDUP(Temps_fin_propu,0), 0.01, IF(K324&gt;0, 0.1, 0.0001))</f>
        <v>0.01</v>
      </c>
      <c r="B325" s="304">
        <f t="shared" ref="B325:B388" ca="1" si="152">B324+pas</f>
        <v>3.2099999999999755</v>
      </c>
      <c r="D325" s="306">
        <f t="shared" ref="D325:D388" ca="1" si="153">IF(AND(L324&lt;L_rampe,Poussee&lt;Poids*SIN(M324)),0,(-W324+Poussee)/m*COS(M324)-U324/m*SIN(M324))</f>
        <v>5.527435361398501</v>
      </c>
      <c r="E325" s="307">
        <f t="shared" ref="E325:E388" ca="1" si="154">IF(AND(L324&lt;L_rampe,Poussee&lt;Poids*SIN(M324)),0,(-W324+Poussee)/m*SIN(M324)+U324/m*COS(M324)-Poids/m)</f>
        <v>36.830169766567629</v>
      </c>
      <c r="F325" s="304">
        <f t="shared" ref="F325:F388" ca="1" si="155">SQRT(acc_x^2+acc_z^2)</f>
        <v>37.242636140700768</v>
      </c>
      <c r="G325" s="306">
        <f t="shared" ref="G325:G388" ca="1" si="156">G324+acc_x*pas</f>
        <v>23.522811007764474</v>
      </c>
      <c r="H325" s="307">
        <f t="shared" ref="H325:H388" ca="1" si="157">H324+acc_z*pas</f>
        <v>198.3859757163448</v>
      </c>
      <c r="I325" s="304">
        <f t="shared" ref="I325:I388" ca="1" si="158">SQRT(vit_x^2+vit_z^2)</f>
        <v>199.77566918579737</v>
      </c>
      <c r="J325" s="306">
        <f t="shared" ref="J325:J388" ca="1" si="159">J324+0.5*(vit_x+G324)*pas*(K324&gt;=0)</f>
        <v>38.748347369238353</v>
      </c>
      <c r="K325" s="307">
        <f t="shared" ref="K325:K388" ca="1" si="160">K324+0.5*(vit_z+H324)*pas</f>
        <v>351.07629545965665</v>
      </c>
      <c r="L325" s="304">
        <f t="shared" ca="1" si="145"/>
        <v>353.20815344145626</v>
      </c>
      <c r="M325" s="306">
        <f t="shared" ref="M325:M388" ca="1" si="161">IF(AND(L324&gt;L_rampe,G325&gt;0),ATAN2(G325,H325),$M$4)</f>
        <v>1.4527764147615914</v>
      </c>
      <c r="N325" s="304">
        <f t="shared" ref="N325:N388" ca="1" si="162">DEGREES(Beta)</f>
        <v>83.237957141986371</v>
      </c>
      <c r="P325" s="310">
        <f t="shared" ref="P325:P388" ca="1" si="163">MATCH(t-pas/2-T_ini,CdP_t)</f>
        <v>10</v>
      </c>
      <c r="Q325" s="304">
        <f t="shared" ref="Q325:Q388" ca="1" si="164">(INDEX(CdP,2,i_P+1)-INDEX(CdP,2,i_P+0))/(INDEX(CdP,1,i_P+1)-INDEX(CdP,1,i_P+0))*(t-pas/2-T_ini-INDEX(CdP,1,i_P+0))+INDEX(CdP,2,i_P+0)</f>
        <v>713.14285714286041</v>
      </c>
      <c r="R325" s="306">
        <f t="shared" ref="R325:R388" ca="1" si="165">Poussee/(g*ISP)</f>
        <v>0.35723626375904266</v>
      </c>
      <c r="S325" s="307">
        <f t="shared" ref="S325:S388" ca="1" si="166">S324-Débit*pas</f>
        <v>11.021709567662899</v>
      </c>
      <c r="T325" s="304">
        <f t="shared" ca="1" si="146"/>
        <v>108.12297085877304</v>
      </c>
      <c r="U325" s="311">
        <f t="shared" ca="1" si="147"/>
        <v>0</v>
      </c>
      <c r="V325" s="306">
        <f t="shared" ca="1" si="148"/>
        <v>1.1827350646526713</v>
      </c>
      <c r="W325" s="304">
        <f t="shared" ca="1" si="149"/>
        <v>196.18271753919944</v>
      </c>
      <c r="Y325" s="314" t="str">
        <f t="shared" ref="Y325:Y388" ca="1" si="167">IF(AND(pos_z&lt;=0,K324&gt;0),"Impact balistique","") &amp; IF(AND(H326&lt;0,vit_z&gt;=0),"Apogée","") &amp; IF(AND(Poussee=0,Q324&gt;0),"Fin de propulsion","") &amp; IF(AND(L326&gt;L_rampe,pos_xz&lt;=L_rampe),"Sortie de rampe","")</f>
        <v/>
      </c>
      <c r="Z325" s="315" t="str">
        <f t="shared" ref="Z325:Z388" ca="1" si="168">IF(ABS(t-T_para)&lt;pas/2,"Para","")</f>
        <v/>
      </c>
      <c r="AA325" s="316" t="str">
        <f t="shared" ref="AA325:AA388" ca="1" si="169">IF(ABS(t-T_satellite)&lt;pas/2,"Satellite","")</f>
        <v/>
      </c>
      <c r="AC325" s="310" t="e">
        <f t="shared" ref="AC325:AC388" ca="1" si="170">IF(ABS(t-ROUND(t,0))&lt;0.001,t,NA())</f>
        <v>#N/A</v>
      </c>
      <c r="AD325" s="323" t="e">
        <f t="shared" ref="AD325:AD388" ca="1" si="171">IF(ABS(t-ROUND(t,0))&lt;0.001,pos_x,NA())</f>
        <v>#N/A</v>
      </c>
      <c r="AE325" s="324">
        <f t="shared" ca="1" si="150"/>
        <v>351.07629545965665</v>
      </c>
      <c r="AG325" s="306">
        <f t="shared" ref="AG325:AG388" ca="1" si="172">IF(AND(L324&lt;L_rampe,Poussee&lt;Poids*SIN(M324)),0,(-W324+Poussee)/m-Poids*SIN(M324)/m)</f>
        <v>37.22473660438952</v>
      </c>
      <c r="AH325" s="304">
        <f t="shared" ref="AH325:AH388" ca="1" si="173">IF(AND(L324&lt;L_rampe,Poussee&lt;Poids*SIN(M324)), g*SIN(M324), (-W324+Poussee)/m)</f>
        <v>46.966562334587444</v>
      </c>
    </row>
    <row r="326" spans="1:34" x14ac:dyDescent="0.25">
      <c r="A326" s="347">
        <f t="shared" ca="1" si="151"/>
        <v>0.01</v>
      </c>
      <c r="B326" s="304">
        <f t="shared" ca="1" si="152"/>
        <v>3.2199999999999753</v>
      </c>
      <c r="D326" s="306">
        <f t="shared" ca="1" si="153"/>
        <v>5.5101782664571406</v>
      </c>
      <c r="E326" s="307">
        <f t="shared" ca="1" si="154"/>
        <v>36.661575671856085</v>
      </c>
      <c r="F326" s="304">
        <f t="shared" ca="1" si="155"/>
        <v>37.073348854282997</v>
      </c>
      <c r="G326" s="306">
        <f t="shared" ca="1" si="156"/>
        <v>23.577912790429046</v>
      </c>
      <c r="H326" s="307">
        <f t="shared" ca="1" si="157"/>
        <v>198.75259147306338</v>
      </c>
      <c r="I326" s="304">
        <f t="shared" ca="1" si="158"/>
        <v>200.14622301910046</v>
      </c>
      <c r="J326" s="306">
        <f t="shared" ca="1" si="159"/>
        <v>38.983850988229321</v>
      </c>
      <c r="K326" s="307">
        <f t="shared" ca="1" si="160"/>
        <v>353.06198829560367</v>
      </c>
      <c r="L326" s="304">
        <f t="shared" ca="1" si="145"/>
        <v>355.20769729429776</v>
      </c>
      <c r="M326" s="306">
        <f t="shared" ca="1" si="161"/>
        <v>1.4527187024813406</v>
      </c>
      <c r="N326" s="304">
        <f t="shared" ca="1" si="162"/>
        <v>83.234650471901929</v>
      </c>
      <c r="P326" s="310">
        <f t="shared" ca="1" si="163"/>
        <v>10</v>
      </c>
      <c r="Q326" s="304">
        <f t="shared" ca="1" si="164"/>
        <v>711.80000000000337</v>
      </c>
      <c r="R326" s="306">
        <f t="shared" ca="1" si="165"/>
        <v>0.35656358329443238</v>
      </c>
      <c r="S326" s="307">
        <f t="shared" ca="1" si="166"/>
        <v>11.018143931829956</v>
      </c>
      <c r="T326" s="304">
        <f t="shared" ca="1" si="146"/>
        <v>108.08799197125187</v>
      </c>
      <c r="U326" s="311">
        <f t="shared" ca="1" si="147"/>
        <v>0</v>
      </c>
      <c r="V326" s="306">
        <f t="shared" ca="1" si="148"/>
        <v>1.1825001603286196</v>
      </c>
      <c r="W326" s="304">
        <f t="shared" ca="1" si="149"/>
        <v>196.87206264937592</v>
      </c>
      <c r="Y326" s="314" t="str">
        <f t="shared" ca="1" si="167"/>
        <v/>
      </c>
      <c r="Z326" s="315" t="str">
        <f t="shared" ca="1" si="168"/>
        <v/>
      </c>
      <c r="AA326" s="316" t="str">
        <f t="shared" ca="1" si="169"/>
        <v/>
      </c>
      <c r="AC326" s="310" t="e">
        <f t="shared" ca="1" si="170"/>
        <v>#N/A</v>
      </c>
      <c r="AD326" s="323" t="e">
        <f t="shared" ca="1" si="171"/>
        <v>#N/A</v>
      </c>
      <c r="AE326" s="324">
        <f t="shared" ca="1" si="150"/>
        <v>353.06198829560367</v>
      </c>
      <c r="AG326" s="306">
        <f t="shared" ca="1" si="172"/>
        <v>37.055349998882768</v>
      </c>
      <c r="AH326" s="304">
        <f t="shared" ca="1" si="173"/>
        <v>46.797108991402268</v>
      </c>
    </row>
    <row r="327" spans="1:34" x14ac:dyDescent="0.25">
      <c r="A327" s="347">
        <f t="shared" ca="1" si="151"/>
        <v>0.01</v>
      </c>
      <c r="B327" s="304">
        <f t="shared" ca="1" si="152"/>
        <v>3.2299999999999751</v>
      </c>
      <c r="D327" s="306">
        <f t="shared" ca="1" si="153"/>
        <v>5.4929066363858219</v>
      </c>
      <c r="E327" s="307">
        <f t="shared" ca="1" si="154"/>
        <v>36.493056526039645</v>
      </c>
      <c r="F327" s="304">
        <f t="shared" ca="1" si="155"/>
        <v>36.904135241579311</v>
      </c>
      <c r="G327" s="306">
        <f t="shared" ca="1" si="156"/>
        <v>23.632841856792904</v>
      </c>
      <c r="H327" s="307">
        <f t="shared" ca="1" si="157"/>
        <v>199.11752203832378</v>
      </c>
      <c r="I327" s="304">
        <f t="shared" ca="1" si="158"/>
        <v>200.51508371419476</v>
      </c>
      <c r="J327" s="306">
        <f t="shared" ca="1" si="159"/>
        <v>39.219904761465429</v>
      </c>
      <c r="K327" s="307">
        <f t="shared" ca="1" si="160"/>
        <v>355.05133886316059</v>
      </c>
      <c r="L327" s="304">
        <f t="shared" ca="1" si="145"/>
        <v>357.2109379036724</v>
      </c>
      <c r="M327" s="306">
        <f t="shared" ca="1" si="161"/>
        <v>1.4526610683279795</v>
      </c>
      <c r="N327" s="304">
        <f t="shared" ca="1" si="162"/>
        <v>83.231348278158521</v>
      </c>
      <c r="P327" s="310">
        <f t="shared" ca="1" si="163"/>
        <v>10</v>
      </c>
      <c r="Q327" s="304">
        <f t="shared" ca="1" si="164"/>
        <v>710.45714285714621</v>
      </c>
      <c r="R327" s="306">
        <f t="shared" ca="1" si="165"/>
        <v>0.355890902829822</v>
      </c>
      <c r="S327" s="307">
        <f t="shared" ca="1" si="166"/>
        <v>11.014585022801658</v>
      </c>
      <c r="T327" s="304">
        <f t="shared" ca="1" si="146"/>
        <v>108.05307907368427</v>
      </c>
      <c r="U327" s="311">
        <f t="shared" ca="1" si="147"/>
        <v>0</v>
      </c>
      <c r="V327" s="306">
        <f t="shared" ca="1" si="148"/>
        <v>1.1822648692585749</v>
      </c>
      <c r="W327" s="304">
        <f t="shared" ca="1" si="149"/>
        <v>197.55906678890025</v>
      </c>
      <c r="Y327" s="314" t="str">
        <f t="shared" ca="1" si="167"/>
        <v/>
      </c>
      <c r="Z327" s="315" t="str">
        <f t="shared" ca="1" si="168"/>
        <v/>
      </c>
      <c r="AA327" s="316" t="str">
        <f t="shared" ca="1" si="169"/>
        <v/>
      </c>
      <c r="AC327" s="310" t="e">
        <f t="shared" ca="1" si="170"/>
        <v>#N/A</v>
      </c>
      <c r="AD327" s="323" t="e">
        <f t="shared" ca="1" si="171"/>
        <v>#N/A</v>
      </c>
      <c r="AE327" s="324">
        <f t="shared" ca="1" si="150"/>
        <v>355.05133886316059</v>
      </c>
      <c r="AG327" s="306">
        <f t="shared" ca="1" si="172"/>
        <v>36.886036206926079</v>
      </c>
      <c r="AH327" s="304">
        <f t="shared" ca="1" si="173"/>
        <v>46.627728520373736</v>
      </c>
    </row>
    <row r="328" spans="1:34" x14ac:dyDescent="0.25">
      <c r="A328" s="347">
        <f t="shared" ca="1" si="151"/>
        <v>0.01</v>
      </c>
      <c r="B328" s="304">
        <f t="shared" ca="1" si="152"/>
        <v>3.2399999999999749</v>
      </c>
      <c r="D328" s="306">
        <f t="shared" ca="1" si="153"/>
        <v>5.4756207766570357</v>
      </c>
      <c r="E328" s="307">
        <f t="shared" ca="1" si="154"/>
        <v>36.324614164319073</v>
      </c>
      <c r="F328" s="304">
        <f t="shared" ca="1" si="155"/>
        <v>36.734997169952365</v>
      </c>
      <c r="G328" s="306">
        <f t="shared" ca="1" si="156"/>
        <v>23.687598064559474</v>
      </c>
      <c r="H328" s="307">
        <f t="shared" ca="1" si="157"/>
        <v>199.48076817996699</v>
      </c>
      <c r="I328" s="304">
        <f t="shared" ca="1" si="158"/>
        <v>200.88225201778741</v>
      </c>
      <c r="J328" s="306">
        <f t="shared" ca="1" si="159"/>
        <v>39.456506961072193</v>
      </c>
      <c r="K328" s="307">
        <f t="shared" ca="1" si="160"/>
        <v>357.04433031425202</v>
      </c>
      <c r="L328" s="304">
        <f t="shared" ca="1" si="145"/>
        <v>359.2178583410377</v>
      </c>
      <c r="M328" s="306">
        <f t="shared" ca="1" si="161"/>
        <v>1.4526035115677751</v>
      </c>
      <c r="N328" s="304">
        <f t="shared" ca="1" si="162"/>
        <v>83.228050518716373</v>
      </c>
      <c r="P328" s="310">
        <f t="shared" ca="1" si="163"/>
        <v>10</v>
      </c>
      <c r="Q328" s="304">
        <f t="shared" ca="1" si="164"/>
        <v>709.11428571428905</v>
      </c>
      <c r="R328" s="306">
        <f t="shared" ca="1" si="165"/>
        <v>0.35521822236521161</v>
      </c>
      <c r="S328" s="307">
        <f t="shared" ca="1" si="166"/>
        <v>11.011032840578006</v>
      </c>
      <c r="T328" s="304">
        <f t="shared" ca="1" si="146"/>
        <v>108.01823216607023</v>
      </c>
      <c r="U328" s="311">
        <f t="shared" ca="1" si="147"/>
        <v>0</v>
      </c>
      <c r="V328" s="306">
        <f t="shared" ca="1" si="148"/>
        <v>1.182029193674875</v>
      </c>
      <c r="W328" s="304">
        <f t="shared" ca="1" si="149"/>
        <v>198.24371387098611</v>
      </c>
      <c r="Y328" s="314" t="str">
        <f t="shared" ca="1" si="167"/>
        <v/>
      </c>
      <c r="Z328" s="315" t="str">
        <f t="shared" ca="1" si="168"/>
        <v/>
      </c>
      <c r="AA328" s="316" t="str">
        <f t="shared" ca="1" si="169"/>
        <v/>
      </c>
      <c r="AC328" s="310" t="e">
        <f t="shared" ca="1" si="170"/>
        <v>#N/A</v>
      </c>
      <c r="AD328" s="323" t="e">
        <f t="shared" ca="1" si="171"/>
        <v>#N/A</v>
      </c>
      <c r="AE328" s="324">
        <f t="shared" ca="1" si="150"/>
        <v>357.04433031425202</v>
      </c>
      <c r="AG328" s="306">
        <f t="shared" ca="1" si="172"/>
        <v>36.716797085319378</v>
      </c>
      <c r="AH328" s="304">
        <f t="shared" ca="1" si="173"/>
        <v>46.458422777579834</v>
      </c>
    </row>
    <row r="329" spans="1:34" x14ac:dyDescent="0.25">
      <c r="A329" s="347">
        <f t="shared" ca="1" si="151"/>
        <v>0.01</v>
      </c>
      <c r="B329" s="304">
        <f t="shared" ca="1" si="152"/>
        <v>3.2499999999999747</v>
      </c>
      <c r="D329" s="306">
        <f t="shared" ca="1" si="153"/>
        <v>5.4583209909597237</v>
      </c>
      <c r="E329" s="307">
        <f t="shared" ca="1" si="154"/>
        <v>36.156250410106026</v>
      </c>
      <c r="F329" s="304">
        <f t="shared" ca="1" si="155"/>
        <v>36.565936495031046</v>
      </c>
      <c r="G329" s="306">
        <f t="shared" ca="1" si="156"/>
        <v>23.742181274469072</v>
      </c>
      <c r="H329" s="307">
        <f t="shared" ca="1" si="157"/>
        <v>199.84233068406806</v>
      </c>
      <c r="I329" s="304">
        <f t="shared" ca="1" si="158"/>
        <v>201.24772869503437</v>
      </c>
      <c r="J329" s="306">
        <f t="shared" ca="1" si="159"/>
        <v>39.69365585776734</v>
      </c>
      <c r="K329" s="307">
        <f t="shared" ca="1" si="160"/>
        <v>359.04094580857219</v>
      </c>
      <c r="L329" s="304">
        <f t="shared" ca="1" si="145"/>
        <v>361.228441685409</v>
      </c>
      <c r="M329" s="306">
        <f t="shared" ca="1" si="161"/>
        <v>1.4525460314728262</v>
      </c>
      <c r="N329" s="304">
        <f t="shared" ca="1" si="162"/>
        <v>83.224757151869795</v>
      </c>
      <c r="P329" s="310">
        <f t="shared" ca="1" si="163"/>
        <v>10</v>
      </c>
      <c r="Q329" s="304">
        <f t="shared" ca="1" si="164"/>
        <v>707.77142857143201</v>
      </c>
      <c r="R329" s="306">
        <f t="shared" ca="1" si="165"/>
        <v>0.35454554190060128</v>
      </c>
      <c r="S329" s="307">
        <f t="shared" ca="1" si="166"/>
        <v>11.007487385158999</v>
      </c>
      <c r="T329" s="304">
        <f t="shared" ca="1" si="146"/>
        <v>107.98345124840979</v>
      </c>
      <c r="U329" s="311">
        <f t="shared" ca="1" si="147"/>
        <v>0</v>
      </c>
      <c r="V329" s="306">
        <f t="shared" ca="1" si="148"/>
        <v>1.1817931358077014</v>
      </c>
      <c r="W329" s="304">
        <f t="shared" ca="1" si="149"/>
        <v>198.92598796304409</v>
      </c>
      <c r="Y329" s="314" t="str">
        <f t="shared" ca="1" si="167"/>
        <v/>
      </c>
      <c r="Z329" s="315" t="str">
        <f t="shared" ca="1" si="168"/>
        <v/>
      </c>
      <c r="AA329" s="316" t="str">
        <f t="shared" ca="1" si="169"/>
        <v/>
      </c>
      <c r="AC329" s="310" t="e">
        <f t="shared" ca="1" si="170"/>
        <v>#N/A</v>
      </c>
      <c r="AD329" s="323" t="e">
        <f t="shared" ca="1" si="171"/>
        <v>#N/A</v>
      </c>
      <c r="AE329" s="324">
        <f t="shared" ca="1" si="150"/>
        <v>359.04094580857219</v>
      </c>
      <c r="AG329" s="306">
        <f t="shared" ca="1" si="172"/>
        <v>36.5476344789599</v>
      </c>
      <c r="AH329" s="304">
        <f t="shared" ca="1" si="173"/>
        <v>46.289193607200851</v>
      </c>
    </row>
    <row r="330" spans="1:34" x14ac:dyDescent="0.25">
      <c r="A330" s="347">
        <f t="shared" ca="1" si="151"/>
        <v>0.01</v>
      </c>
      <c r="B330" s="304">
        <f t="shared" ca="1" si="152"/>
        <v>3.2599999999999745</v>
      </c>
      <c r="D330" s="306">
        <f t="shared" ca="1" si="153"/>
        <v>5.4412373730507344</v>
      </c>
      <c r="E330" s="307">
        <f t="shared" ca="1" si="154"/>
        <v>35.989901275500287</v>
      </c>
      <c r="F330" s="304">
        <f t="shared" ca="1" si="155"/>
        <v>36.398901878630092</v>
      </c>
      <c r="G330" s="306">
        <f t="shared" ca="1" si="156"/>
        <v>23.796593648199579</v>
      </c>
      <c r="H330" s="307">
        <f t="shared" ca="1" si="157"/>
        <v>200.20222969682305</v>
      </c>
      <c r="I330" s="304">
        <f t="shared" ca="1" si="158"/>
        <v>201.61153400744968</v>
      </c>
      <c r="J330" s="306">
        <f t="shared" ca="1" si="159"/>
        <v>39.931349732380681</v>
      </c>
      <c r="K330" s="307">
        <f t="shared" ca="1" si="160"/>
        <v>361.04116861047663</v>
      </c>
      <c r="L330" s="304">
        <f t="shared" ca="1" si="145"/>
        <v>363.24267112093031</v>
      </c>
      <c r="M330" s="306">
        <f t="shared" ca="1" si="161"/>
        <v>1.4524886273265358</v>
      </c>
      <c r="N330" s="304">
        <f t="shared" ca="1" si="162"/>
        <v>83.221468136560802</v>
      </c>
      <c r="P330" s="310">
        <f t="shared" ca="1" si="163"/>
        <v>11</v>
      </c>
      <c r="Q330" s="304">
        <f t="shared" ca="1" si="164"/>
        <v>706.45000000000334</v>
      </c>
      <c r="R330" s="306">
        <f t="shared" ca="1" si="165"/>
        <v>0.35388359569872402</v>
      </c>
      <c r="S330" s="307">
        <f t="shared" ca="1" si="166"/>
        <v>11.003948549202011</v>
      </c>
      <c r="T330" s="304">
        <f t="shared" ca="1" si="146"/>
        <v>107.94873526767174</v>
      </c>
      <c r="U330" s="311">
        <f t="shared" ca="1" si="147"/>
        <v>0</v>
      </c>
      <c r="V330" s="306">
        <f t="shared" ca="1" si="148"/>
        <v>1.1815566978736169</v>
      </c>
      <c r="W330" s="304">
        <f t="shared" ca="1" si="149"/>
        <v>199.60591185311569</v>
      </c>
      <c r="Y330" s="314" t="str">
        <f t="shared" ca="1" si="167"/>
        <v/>
      </c>
      <c r="Z330" s="315" t="str">
        <f t="shared" ca="1" si="168"/>
        <v/>
      </c>
      <c r="AA330" s="316" t="str">
        <f t="shared" ca="1" si="169"/>
        <v/>
      </c>
      <c r="AC330" s="310" t="e">
        <f t="shared" ca="1" si="170"/>
        <v>#N/A</v>
      </c>
      <c r="AD330" s="323" t="e">
        <f t="shared" ca="1" si="171"/>
        <v>#N/A</v>
      </c>
      <c r="AE330" s="324">
        <f t="shared" ca="1" si="150"/>
        <v>361.04116861047663</v>
      </c>
      <c r="AG330" s="306">
        <f t="shared" ca="1" si="172"/>
        <v>36.380498023650645</v>
      </c>
      <c r="AH330" s="304">
        <f t="shared" ca="1" si="173"/>
        <v>46.121990644327759</v>
      </c>
    </row>
    <row r="331" spans="1:34" x14ac:dyDescent="0.25">
      <c r="A331" s="347">
        <f t="shared" ca="1" si="151"/>
        <v>0.01</v>
      </c>
      <c r="B331" s="304">
        <f t="shared" ca="1" si="152"/>
        <v>3.2699999999999743</v>
      </c>
      <c r="D331" s="306">
        <f t="shared" ca="1" si="153"/>
        <v>5.424370415898224</v>
      </c>
      <c r="E331" s="307">
        <f t="shared" ca="1" si="154"/>
        <v>35.825567342911306</v>
      </c>
      <c r="F331" s="304">
        <f t="shared" ca="1" si="155"/>
        <v>36.23389393717359</v>
      </c>
      <c r="G331" s="306">
        <f t="shared" ca="1" si="156"/>
        <v>23.85083735235856</v>
      </c>
      <c r="H331" s="307">
        <f t="shared" ca="1" si="157"/>
        <v>200.56048537025217</v>
      </c>
      <c r="I331" s="304">
        <f t="shared" ca="1" si="158"/>
        <v>201.97368822289647</v>
      </c>
      <c r="J331" s="306">
        <f t="shared" ca="1" si="159"/>
        <v>40.169586887383474</v>
      </c>
      <c r="K331" s="307">
        <f t="shared" ca="1" si="160"/>
        <v>363.04498218581199</v>
      </c>
      <c r="L331" s="304">
        <f t="shared" ca="1" si="145"/>
        <v>365.2605300343846</v>
      </c>
      <c r="M331" s="306">
        <f t="shared" ca="1" si="161"/>
        <v>1.4524312984234722</v>
      </c>
      <c r="N331" s="304">
        <f t="shared" ca="1" si="162"/>
        <v>83.218183432371134</v>
      </c>
      <c r="P331" s="310">
        <f t="shared" ca="1" si="163"/>
        <v>11</v>
      </c>
      <c r="Q331" s="304">
        <f t="shared" ca="1" si="164"/>
        <v>705.15000000000339</v>
      </c>
      <c r="R331" s="306">
        <f t="shared" ca="1" si="165"/>
        <v>0.35323238375957994</v>
      </c>
      <c r="S331" s="307">
        <f t="shared" ca="1" si="166"/>
        <v>11.000416225364415</v>
      </c>
      <c r="T331" s="304">
        <f t="shared" ca="1" si="146"/>
        <v>107.91408317082491</v>
      </c>
      <c r="U331" s="311">
        <f t="shared" ca="1" si="147"/>
        <v>0</v>
      </c>
      <c r="V331" s="306">
        <f t="shared" ca="1" si="148"/>
        <v>1.1813198820641331</v>
      </c>
      <c r="W331" s="304">
        <f t="shared" ca="1" si="149"/>
        <v>200.2835087018172</v>
      </c>
      <c r="Y331" s="314" t="str">
        <f t="shared" ca="1" si="167"/>
        <v/>
      </c>
      <c r="Z331" s="315" t="str">
        <f t="shared" ca="1" si="168"/>
        <v/>
      </c>
      <c r="AA331" s="316" t="str">
        <f t="shared" ca="1" si="169"/>
        <v/>
      </c>
      <c r="AC331" s="310" t="e">
        <f t="shared" ca="1" si="170"/>
        <v>#N/A</v>
      </c>
      <c r="AD331" s="323" t="e">
        <f t="shared" ca="1" si="171"/>
        <v>#N/A</v>
      </c>
      <c r="AE331" s="324">
        <f t="shared" ca="1" si="150"/>
        <v>363.04498218581199</v>
      </c>
      <c r="AG331" s="306">
        <f t="shared" ca="1" si="172"/>
        <v>36.21538835431501</v>
      </c>
      <c r="AH331" s="304">
        <f t="shared" ca="1" si="173"/>
        <v>45.956814523183226</v>
      </c>
    </row>
    <row r="332" spans="1:34" x14ac:dyDescent="0.25">
      <c r="A332" s="347">
        <f t="shared" ca="1" si="151"/>
        <v>0.01</v>
      </c>
      <c r="B332" s="304">
        <f t="shared" ca="1" si="152"/>
        <v>3.279999999999974</v>
      </c>
      <c r="D332" s="306">
        <f t="shared" ca="1" si="153"/>
        <v>5.4074904441711693</v>
      </c>
      <c r="E332" s="307">
        <f t="shared" ca="1" si="154"/>
        <v>35.661313736107637</v>
      </c>
      <c r="F332" s="304">
        <f t="shared" ca="1" si="155"/>
        <v>36.068965195703932</v>
      </c>
      <c r="G332" s="306">
        <f t="shared" ca="1" si="156"/>
        <v>23.904912256800273</v>
      </c>
      <c r="H332" s="307">
        <f t="shared" ca="1" si="157"/>
        <v>200.91709850761325</v>
      </c>
      <c r="I332" s="304">
        <f t="shared" ca="1" si="158"/>
        <v>202.33419212462158</v>
      </c>
      <c r="J332" s="306">
        <f t="shared" ca="1" si="159"/>
        <v>40.40836563542927</v>
      </c>
      <c r="K332" s="307">
        <f t="shared" ca="1" si="160"/>
        <v>365.05237010520131</v>
      </c>
      <c r="L332" s="304">
        <f t="shared" ca="1" si="145"/>
        <v>367.28200191780621</v>
      </c>
      <c r="M332" s="306">
        <f t="shared" ca="1" si="161"/>
        <v>1.4523740440637138</v>
      </c>
      <c r="N332" s="304">
        <f t="shared" ca="1" si="162"/>
        <v>83.214902999198259</v>
      </c>
      <c r="P332" s="310">
        <f t="shared" ca="1" si="163"/>
        <v>11</v>
      </c>
      <c r="Q332" s="304">
        <f t="shared" ca="1" si="164"/>
        <v>703.85000000000343</v>
      </c>
      <c r="R332" s="306">
        <f t="shared" ca="1" si="165"/>
        <v>0.35258117182043586</v>
      </c>
      <c r="S332" s="307">
        <f t="shared" ca="1" si="166"/>
        <v>10.996890413646211</v>
      </c>
      <c r="T332" s="304">
        <f t="shared" ca="1" si="146"/>
        <v>107.87949495786934</v>
      </c>
      <c r="U332" s="311">
        <f t="shared" ca="1" si="147"/>
        <v>0</v>
      </c>
      <c r="V332" s="306">
        <f t="shared" ca="1" si="148"/>
        <v>1.1810826905571508</v>
      </c>
      <c r="W332" s="304">
        <f t="shared" ca="1" si="149"/>
        <v>200.95876332358344</v>
      </c>
      <c r="Y332" s="314" t="str">
        <f t="shared" ca="1" si="167"/>
        <v/>
      </c>
      <c r="Z332" s="315" t="str">
        <f t="shared" ca="1" si="168"/>
        <v/>
      </c>
      <c r="AA332" s="316" t="str">
        <f t="shared" ca="1" si="169"/>
        <v/>
      </c>
      <c r="AC332" s="310" t="e">
        <f t="shared" ca="1" si="170"/>
        <v>#N/A</v>
      </c>
      <c r="AD332" s="323" t="e">
        <f t="shared" ca="1" si="171"/>
        <v>#N/A</v>
      </c>
      <c r="AE332" s="324">
        <f t="shared" ca="1" si="150"/>
        <v>365.05237010520131</v>
      </c>
      <c r="AG332" s="306">
        <f t="shared" ca="1" si="172"/>
        <v>36.050357009312272</v>
      </c>
      <c r="AH332" s="304">
        <f t="shared" ca="1" si="173"/>
        <v>45.791716781436939</v>
      </c>
    </row>
    <row r="333" spans="1:34" x14ac:dyDescent="0.25">
      <c r="A333" s="347">
        <f t="shared" ca="1" si="151"/>
        <v>0.01</v>
      </c>
      <c r="B333" s="304">
        <f t="shared" ca="1" si="152"/>
        <v>3.2899999999999738</v>
      </c>
      <c r="D333" s="306">
        <f t="shared" ca="1" si="153"/>
        <v>5.3905977469999096</v>
      </c>
      <c r="E333" s="307">
        <f t="shared" ca="1" si="154"/>
        <v>35.497142185422454</v>
      </c>
      <c r="F333" s="304">
        <f t="shared" ca="1" si="155"/>
        <v>35.904117415723491</v>
      </c>
      <c r="G333" s="306">
        <f t="shared" ca="1" si="156"/>
        <v>23.958818234270272</v>
      </c>
      <c r="H333" s="307">
        <f t="shared" ca="1" si="157"/>
        <v>201.27206992946748</v>
      </c>
      <c r="I333" s="304">
        <f t="shared" ca="1" si="158"/>
        <v>202.69304651338004</v>
      </c>
      <c r="J333" s="306">
        <f t="shared" ca="1" si="159"/>
        <v>40.647684287884623</v>
      </c>
      <c r="K333" s="307">
        <f t="shared" ca="1" si="160"/>
        <v>367.06331594738668</v>
      </c>
      <c r="L333" s="304">
        <f t="shared" ca="1" si="145"/>
        <v>369.30707027114789</v>
      </c>
      <c r="M333" s="306">
        <f t="shared" ca="1" si="161"/>
        <v>1.4523168635527846</v>
      </c>
      <c r="N333" s="304">
        <f t="shared" ca="1" si="162"/>
        <v>83.211626797251611</v>
      </c>
      <c r="P333" s="310">
        <f t="shared" ca="1" si="163"/>
        <v>11</v>
      </c>
      <c r="Q333" s="304">
        <f t="shared" ca="1" si="164"/>
        <v>702.55000000000337</v>
      </c>
      <c r="R333" s="306">
        <f t="shared" ca="1" si="165"/>
        <v>0.35192995988129178</v>
      </c>
      <c r="S333" s="307">
        <f t="shared" ca="1" si="166"/>
        <v>10.993371114047399</v>
      </c>
      <c r="T333" s="304">
        <f t="shared" ca="1" si="146"/>
        <v>107.84497062880499</v>
      </c>
      <c r="U333" s="311">
        <f t="shared" ca="1" si="147"/>
        <v>0</v>
      </c>
      <c r="V333" s="306">
        <f t="shared" ca="1" si="148"/>
        <v>1.1808451255283847</v>
      </c>
      <c r="W333" s="304">
        <f t="shared" ca="1" si="149"/>
        <v>201.63166068058948</v>
      </c>
      <c r="Y333" s="314" t="str">
        <f t="shared" ca="1" si="167"/>
        <v/>
      </c>
      <c r="Z333" s="315" t="str">
        <f t="shared" ca="1" si="168"/>
        <v/>
      </c>
      <c r="AA333" s="316" t="str">
        <f t="shared" ca="1" si="169"/>
        <v/>
      </c>
      <c r="AC333" s="310" t="e">
        <f t="shared" ca="1" si="170"/>
        <v>#N/A</v>
      </c>
      <c r="AD333" s="323" t="e">
        <f t="shared" ca="1" si="171"/>
        <v>#N/A</v>
      </c>
      <c r="AE333" s="324">
        <f t="shared" ca="1" si="150"/>
        <v>367.06331594738668</v>
      </c>
      <c r="AG333" s="306">
        <f t="shared" ca="1" si="172"/>
        <v>35.885405739475409</v>
      </c>
      <c r="AH333" s="304">
        <f t="shared" ca="1" si="173"/>
        <v>45.62669916923695</v>
      </c>
    </row>
    <row r="334" spans="1:34" x14ac:dyDescent="0.25">
      <c r="A334" s="347">
        <f t="shared" ca="1" si="151"/>
        <v>0.01</v>
      </c>
      <c r="B334" s="304">
        <f t="shared" ca="1" si="152"/>
        <v>3.2999999999999736</v>
      </c>
      <c r="D334" s="306">
        <f t="shared" ca="1" si="153"/>
        <v>5.3736926118133459</v>
      </c>
      <c r="E334" s="307">
        <f t="shared" ca="1" si="154"/>
        <v>35.333054409807779</v>
      </c>
      <c r="F334" s="304">
        <f t="shared" ca="1" si="155"/>
        <v>35.739352347415227</v>
      </c>
      <c r="G334" s="306">
        <f t="shared" ca="1" si="156"/>
        <v>24.012555160388406</v>
      </c>
      <c r="H334" s="307">
        <f t="shared" ca="1" si="157"/>
        <v>201.62540047356555</v>
      </c>
      <c r="I334" s="304">
        <f t="shared" ca="1" si="158"/>
        <v>203.05025220732028</v>
      </c>
      <c r="J334" s="306">
        <f t="shared" ca="1" si="159"/>
        <v>40.887541154857914</v>
      </c>
      <c r="K334" s="307">
        <f t="shared" ca="1" si="160"/>
        <v>369.07780329940186</v>
      </c>
      <c r="L334" s="304">
        <f t="shared" ca="1" si="145"/>
        <v>371.3357186024557</v>
      </c>
      <c r="M334" s="306">
        <f t="shared" ca="1" si="161"/>
        <v>1.4522597562015858</v>
      </c>
      <c r="N334" s="304">
        <f t="shared" ca="1" si="162"/>
        <v>83.208354787048748</v>
      </c>
      <c r="P334" s="310">
        <f t="shared" ca="1" si="163"/>
        <v>11</v>
      </c>
      <c r="Q334" s="304">
        <f t="shared" ca="1" si="164"/>
        <v>701.25000000000341</v>
      </c>
      <c r="R334" s="306">
        <f t="shared" ca="1" si="165"/>
        <v>0.3512787479421477</v>
      </c>
      <c r="S334" s="307">
        <f t="shared" ca="1" si="166"/>
        <v>10.989858326567978</v>
      </c>
      <c r="T334" s="304">
        <f t="shared" ca="1" si="146"/>
        <v>107.81051018363186</v>
      </c>
      <c r="U334" s="311">
        <f t="shared" ca="1" si="147"/>
        <v>0</v>
      </c>
      <c r="V334" s="306">
        <f t="shared" ca="1" si="148"/>
        <v>1.1806071891513388</v>
      </c>
      <c r="W334" s="304">
        <f t="shared" ca="1" si="149"/>
        <v>202.30218588257821</v>
      </c>
      <c r="Y334" s="314" t="str">
        <f t="shared" ca="1" si="167"/>
        <v/>
      </c>
      <c r="Z334" s="315" t="str">
        <f t="shared" ca="1" si="168"/>
        <v/>
      </c>
      <c r="AA334" s="316" t="str">
        <f t="shared" ca="1" si="169"/>
        <v/>
      </c>
      <c r="AC334" s="310" t="e">
        <f t="shared" ca="1" si="170"/>
        <v>#N/A</v>
      </c>
      <c r="AD334" s="323" t="e">
        <f t="shared" ca="1" si="171"/>
        <v>#N/A</v>
      </c>
      <c r="AE334" s="324">
        <f t="shared" ca="1" si="150"/>
        <v>369.07780329940186</v>
      </c>
      <c r="AG334" s="306">
        <f t="shared" ca="1" si="172"/>
        <v>35.72053628414848</v>
      </c>
      <c r="AH334" s="304">
        <f t="shared" ca="1" si="173"/>
        <v>45.461763425246971</v>
      </c>
    </row>
    <row r="335" spans="1:34" x14ac:dyDescent="0.25">
      <c r="A335" s="347">
        <f t="shared" ca="1" si="151"/>
        <v>0.01</v>
      </c>
      <c r="B335" s="304">
        <f t="shared" ca="1" si="152"/>
        <v>3.3099999999999734</v>
      </c>
      <c r="D335" s="306">
        <f t="shared" ca="1" si="153"/>
        <v>5.3567753243409371</v>
      </c>
      <c r="E335" s="307">
        <f t="shared" ca="1" si="154"/>
        <v>35.169052116821291</v>
      </c>
      <c r="F335" s="304">
        <f t="shared" ca="1" si="155"/>
        <v>35.574671729633152</v>
      </c>
      <c r="G335" s="306">
        <f t="shared" ca="1" si="156"/>
        <v>24.066122913631816</v>
      </c>
      <c r="H335" s="307">
        <f t="shared" ca="1" si="157"/>
        <v>201.97709099473377</v>
      </c>
      <c r="I335" s="304">
        <f t="shared" ca="1" si="158"/>
        <v>203.40581004186924</v>
      </c>
      <c r="J335" s="306">
        <f t="shared" ca="1" si="159"/>
        <v>41.127934545228015</v>
      </c>
      <c r="K335" s="307">
        <f t="shared" ca="1" si="160"/>
        <v>371.09581575674338</v>
      </c>
      <c r="L335" s="304">
        <f t="shared" ca="1" si="145"/>
        <v>373.3679304280422</v>
      </c>
      <c r="M335" s="306">
        <f t="shared" ca="1" si="161"/>
        <v>1.4522027213263315</v>
      </c>
      <c r="N335" s="304">
        <f t="shared" ca="1" si="162"/>
        <v>83.205086929411621</v>
      </c>
      <c r="P335" s="310">
        <f t="shared" ca="1" si="163"/>
        <v>11</v>
      </c>
      <c r="Q335" s="304">
        <f t="shared" ca="1" si="164"/>
        <v>699.95000000000346</v>
      </c>
      <c r="R335" s="306">
        <f t="shared" ca="1" si="165"/>
        <v>0.35062753600300361</v>
      </c>
      <c r="S335" s="307">
        <f t="shared" ca="1" si="166"/>
        <v>10.986352051207948</v>
      </c>
      <c r="T335" s="304">
        <f t="shared" ca="1" si="146"/>
        <v>107.77611362234998</v>
      </c>
      <c r="U335" s="311">
        <f t="shared" ca="1" si="147"/>
        <v>0</v>
      </c>
      <c r="V335" s="306">
        <f t="shared" ca="1" si="148"/>
        <v>1.180368883597279</v>
      </c>
      <c r="W335" s="304">
        <f t="shared" ca="1" si="149"/>
        <v>202.97032418667928</v>
      </c>
      <c r="Y335" s="314" t="str">
        <f t="shared" ca="1" si="167"/>
        <v/>
      </c>
      <c r="Z335" s="315" t="str">
        <f t="shared" ca="1" si="168"/>
        <v/>
      </c>
      <c r="AA335" s="316" t="str">
        <f t="shared" ca="1" si="169"/>
        <v/>
      </c>
      <c r="AC335" s="310" t="e">
        <f t="shared" ca="1" si="170"/>
        <v>#N/A</v>
      </c>
      <c r="AD335" s="323" t="e">
        <f t="shared" ca="1" si="171"/>
        <v>#N/A</v>
      </c>
      <c r="AE335" s="324">
        <f t="shared" ca="1" si="150"/>
        <v>371.09581575674338</v>
      </c>
      <c r="AG335" s="306">
        <f t="shared" ca="1" si="172"/>
        <v>35.555750371173666</v>
      </c>
      <c r="AH335" s="304">
        <f t="shared" ca="1" si="173"/>
        <v>45.296911276633352</v>
      </c>
    </row>
    <row r="336" spans="1:34" x14ac:dyDescent="0.25">
      <c r="A336" s="347">
        <f t="shared" ca="1" si="151"/>
        <v>0.01</v>
      </c>
      <c r="B336" s="304">
        <f t="shared" ca="1" si="152"/>
        <v>3.3199999999999732</v>
      </c>
      <c r="D336" s="306">
        <f t="shared" ca="1" si="153"/>
        <v>5.3398461686146446</v>
      </c>
      <c r="E336" s="307">
        <f t="shared" ca="1" si="154"/>
        <v>35.00513700261412</v>
      </c>
      <c r="F336" s="304">
        <f t="shared" ca="1" si="155"/>
        <v>35.410077289893799</v>
      </c>
      <c r="G336" s="306">
        <f t="shared" ca="1" si="156"/>
        <v>24.119521375317962</v>
      </c>
      <c r="H336" s="307">
        <f t="shared" ca="1" si="157"/>
        <v>202.32714236475991</v>
      </c>
      <c r="I336" s="304">
        <f t="shared" ca="1" si="158"/>
        <v>203.75972086961701</v>
      </c>
      <c r="J336" s="306">
        <f t="shared" ca="1" si="159"/>
        <v>41.368862766672763</v>
      </c>
      <c r="K336" s="307">
        <f t="shared" ca="1" si="160"/>
        <v>373.11733692354085</v>
      </c>
      <c r="L336" s="304">
        <f t="shared" ca="1" si="145"/>
        <v>375.40368927265877</v>
      </c>
      <c r="M336" s="306">
        <f t="shared" ca="1" si="161"/>
        <v>1.4521457582484854</v>
      </c>
      <c r="N336" s="304">
        <f t="shared" ca="1" si="162"/>
        <v>83.201823185462956</v>
      </c>
      <c r="P336" s="310">
        <f t="shared" ca="1" si="163"/>
        <v>11</v>
      </c>
      <c r="Q336" s="304">
        <f t="shared" ca="1" si="164"/>
        <v>698.6500000000035</v>
      </c>
      <c r="R336" s="306">
        <f t="shared" ca="1" si="165"/>
        <v>0.34997632406385959</v>
      </c>
      <c r="S336" s="307">
        <f t="shared" ca="1" si="166"/>
        <v>10.98285228796731</v>
      </c>
      <c r="T336" s="304">
        <f t="shared" ca="1" si="146"/>
        <v>107.74178094495932</v>
      </c>
      <c r="U336" s="311">
        <f t="shared" ca="1" si="147"/>
        <v>0</v>
      </c>
      <c r="V336" s="306">
        <f t="shared" ca="1" si="148"/>
        <v>1.1801302110352097</v>
      </c>
      <c r="W336" s="304">
        <f t="shared" ca="1" si="149"/>
        <v>203.63606099722028</v>
      </c>
      <c r="Y336" s="314" t="str">
        <f t="shared" ca="1" si="167"/>
        <v/>
      </c>
      <c r="Z336" s="315" t="str">
        <f t="shared" ca="1" si="168"/>
        <v/>
      </c>
      <c r="AA336" s="316" t="str">
        <f t="shared" ca="1" si="169"/>
        <v/>
      </c>
      <c r="AC336" s="310" t="e">
        <f t="shared" ca="1" si="170"/>
        <v>#N/A</v>
      </c>
      <c r="AD336" s="323" t="e">
        <f t="shared" ca="1" si="171"/>
        <v>#N/A</v>
      </c>
      <c r="AE336" s="324">
        <f t="shared" ca="1" si="150"/>
        <v>373.11733692354085</v>
      </c>
      <c r="AG336" s="306">
        <f t="shared" ca="1" si="172"/>
        <v>35.391049716879195</v>
      </c>
      <c r="AH336" s="304">
        <f t="shared" ca="1" si="173"/>
        <v>45.132144439052993</v>
      </c>
    </row>
    <row r="337" spans="1:34" x14ac:dyDescent="0.25">
      <c r="A337" s="347">
        <f t="shared" ca="1" si="151"/>
        <v>0.01</v>
      </c>
      <c r="B337" s="304">
        <f t="shared" ca="1" si="152"/>
        <v>3.329999999999973</v>
      </c>
      <c r="D337" s="306">
        <f t="shared" ca="1" si="153"/>
        <v>5.3229054269708502</v>
      </c>
      <c r="E337" s="307">
        <f t="shared" ca="1" si="154"/>
        <v>34.841310751919359</v>
      </c>
      <c r="F337" s="304">
        <f t="shared" ca="1" si="155"/>
        <v>35.245570744368536</v>
      </c>
      <c r="G337" s="306">
        <f t="shared" ca="1" si="156"/>
        <v>24.172750429587669</v>
      </c>
      <c r="H337" s="307">
        <f t="shared" ca="1" si="157"/>
        <v>202.67555547227911</v>
      </c>
      <c r="I337" s="304">
        <f t="shared" ca="1" si="158"/>
        <v>204.11198556020179</v>
      </c>
      <c r="J337" s="306">
        <f t="shared" ca="1" si="159"/>
        <v>41.610324125697289</v>
      </c>
      <c r="K337" s="307">
        <f t="shared" ca="1" si="160"/>
        <v>375.14235041272605</v>
      </c>
      <c r="L337" s="304">
        <f t="shared" ca="1" si="145"/>
        <v>377.44297866966622</v>
      </c>
      <c r="M337" s="306">
        <f t="shared" ca="1" si="161"/>
        <v>1.4520888662946962</v>
      </c>
      <c r="N337" s="304">
        <f t="shared" ca="1" si="162"/>
        <v>83.198563516622599</v>
      </c>
      <c r="P337" s="310">
        <f t="shared" ca="1" si="163"/>
        <v>11</v>
      </c>
      <c r="Q337" s="304">
        <f t="shared" ca="1" si="164"/>
        <v>697.35000000000355</v>
      </c>
      <c r="R337" s="306">
        <f t="shared" ca="1" si="165"/>
        <v>0.34932511212471551</v>
      </c>
      <c r="S337" s="307">
        <f t="shared" ca="1" si="166"/>
        <v>10.979359036846063</v>
      </c>
      <c r="T337" s="304">
        <f t="shared" ca="1" si="146"/>
        <v>107.70751215145988</v>
      </c>
      <c r="U337" s="311">
        <f t="shared" ca="1" si="147"/>
        <v>0</v>
      </c>
      <c r="V337" s="306">
        <f t="shared" ca="1" si="148"/>
        <v>1.1798911736318465</v>
      </c>
      <c r="W337" s="304">
        <f t="shared" ca="1" si="149"/>
        <v>204.29938186553051</v>
      </c>
      <c r="Y337" s="314" t="str">
        <f t="shared" ca="1" si="167"/>
        <v/>
      </c>
      <c r="Z337" s="315" t="str">
        <f t="shared" ca="1" si="168"/>
        <v/>
      </c>
      <c r="AA337" s="316" t="str">
        <f t="shared" ca="1" si="169"/>
        <v/>
      </c>
      <c r="AC337" s="310" t="e">
        <f t="shared" ca="1" si="170"/>
        <v>#N/A</v>
      </c>
      <c r="AD337" s="323" t="e">
        <f t="shared" ca="1" si="171"/>
        <v>#N/A</v>
      </c>
      <c r="AE337" s="324">
        <f t="shared" ca="1" si="150"/>
        <v>375.14235041272605</v>
      </c>
      <c r="AG337" s="306">
        <f t="shared" ca="1" si="172"/>
        <v>35.22643602606805</v>
      </c>
      <c r="AH337" s="304">
        <f t="shared" ca="1" si="173"/>
        <v>44.967464616641941</v>
      </c>
    </row>
    <row r="338" spans="1:34" x14ac:dyDescent="0.25">
      <c r="A338" s="347">
        <f t="shared" ca="1" si="151"/>
        <v>0.01</v>
      </c>
      <c r="B338" s="304">
        <f t="shared" ca="1" si="152"/>
        <v>3.3399999999999728</v>
      </c>
      <c r="D338" s="306">
        <f t="shared" ca="1" si="153"/>
        <v>5.3059533800523484</v>
      </c>
      <c r="E338" s="307">
        <f t="shared" ca="1" si="154"/>
        <v>34.677575038041326</v>
      </c>
      <c r="F338" s="304">
        <f t="shared" ca="1" si="155"/>
        <v>35.081153797876652</v>
      </c>
      <c r="G338" s="306">
        <f t="shared" ca="1" si="156"/>
        <v>24.225809963388194</v>
      </c>
      <c r="H338" s="307">
        <f t="shared" ca="1" si="157"/>
        <v>203.02233122265952</v>
      </c>
      <c r="I338" s="304">
        <f t="shared" ca="1" si="158"/>
        <v>204.46260500019426</v>
      </c>
      <c r="J338" s="306">
        <f t="shared" ca="1" si="159"/>
        <v>41.852316927662166</v>
      </c>
      <c r="K338" s="307">
        <f t="shared" ca="1" si="160"/>
        <v>377.17083984620075</v>
      </c>
      <c r="L338" s="304">
        <f t="shared" ca="1" si="145"/>
        <v>379.48578216120546</v>
      </c>
      <c r="M338" s="306">
        <f t="shared" ca="1" si="161"/>
        <v>1.4520320447967359</v>
      </c>
      <c r="N338" s="304">
        <f t="shared" ca="1" si="162"/>
        <v>83.195307884603849</v>
      </c>
      <c r="P338" s="310">
        <f t="shared" ca="1" si="163"/>
        <v>11</v>
      </c>
      <c r="Q338" s="304">
        <f t="shared" ca="1" si="164"/>
        <v>696.05000000000359</v>
      </c>
      <c r="R338" s="306">
        <f t="shared" ca="1" si="165"/>
        <v>0.34867390018557143</v>
      </c>
      <c r="S338" s="307">
        <f t="shared" ca="1" si="166"/>
        <v>10.975872297844207</v>
      </c>
      <c r="T338" s="304">
        <f t="shared" ca="1" si="146"/>
        <v>107.67330724185167</v>
      </c>
      <c r="U338" s="311">
        <f t="shared" ca="1" si="147"/>
        <v>0</v>
      </c>
      <c r="V338" s="306">
        <f t="shared" ca="1" si="148"/>
        <v>1.1796517735515948</v>
      </c>
      <c r="W338" s="304">
        <f t="shared" ca="1" si="149"/>
        <v>204.96027248973613</v>
      </c>
      <c r="Y338" s="314" t="str">
        <f t="shared" ca="1" si="167"/>
        <v/>
      </c>
      <c r="Z338" s="315" t="str">
        <f t="shared" ca="1" si="168"/>
        <v/>
      </c>
      <c r="AA338" s="316" t="str">
        <f t="shared" ca="1" si="169"/>
        <v/>
      </c>
      <c r="AC338" s="310" t="e">
        <f t="shared" ca="1" si="170"/>
        <v>#N/A</v>
      </c>
      <c r="AD338" s="323" t="e">
        <f t="shared" ca="1" si="171"/>
        <v>#N/A</v>
      </c>
      <c r="AE338" s="324">
        <f t="shared" ca="1" si="150"/>
        <v>377.17083984620075</v>
      </c>
      <c r="AG338" s="306">
        <f t="shared" ca="1" si="172"/>
        <v>35.061910992007419</v>
      </c>
      <c r="AH338" s="304">
        <f t="shared" ca="1" si="173"/>
        <v>44.802873502004829</v>
      </c>
    </row>
    <row r="339" spans="1:34" x14ac:dyDescent="0.25">
      <c r="A339" s="347">
        <f t="shared" ca="1" si="151"/>
        <v>0.01</v>
      </c>
      <c r="B339" s="304">
        <f t="shared" ca="1" si="152"/>
        <v>3.3499999999999726</v>
      </c>
      <c r="D339" s="306">
        <f t="shared" ca="1" si="153"/>
        <v>5.2889903068103719</v>
      </c>
      <c r="E339" s="307">
        <f t="shared" ca="1" si="154"/>
        <v>34.513931522845702</v>
      </c>
      <c r="F339" s="304">
        <f t="shared" ca="1" si="155"/>
        <v>34.916828143879513</v>
      </c>
      <c r="G339" s="306">
        <f t="shared" ca="1" si="156"/>
        <v>24.278699866456297</v>
      </c>
      <c r="H339" s="307">
        <f t="shared" ca="1" si="157"/>
        <v>203.36747053788798</v>
      </c>
      <c r="I339" s="304">
        <f t="shared" ca="1" si="158"/>
        <v>204.81158009298252</v>
      </c>
      <c r="J339" s="306">
        <f t="shared" ca="1" si="159"/>
        <v>42.094839476811387</v>
      </c>
      <c r="K339" s="307">
        <f t="shared" ca="1" si="160"/>
        <v>379.20278885500346</v>
      </c>
      <c r="L339" s="304">
        <f t="shared" ca="1" si="145"/>
        <v>381.53208329836542</v>
      </c>
      <c r="M339" s="306">
        <f t="shared" ca="1" si="161"/>
        <v>1.4519752930914378</v>
      </c>
      <c r="N339" s="304">
        <f t="shared" ca="1" si="162"/>
        <v>83.192056251410108</v>
      </c>
      <c r="P339" s="310">
        <f t="shared" ca="1" si="163"/>
        <v>11</v>
      </c>
      <c r="Q339" s="304">
        <f t="shared" ca="1" si="164"/>
        <v>694.75000000000352</v>
      </c>
      <c r="R339" s="306">
        <f t="shared" ca="1" si="165"/>
        <v>0.34802268824642735</v>
      </c>
      <c r="S339" s="307">
        <f t="shared" ca="1" si="166"/>
        <v>10.972392070961742</v>
      </c>
      <c r="T339" s="304">
        <f t="shared" ca="1" si="146"/>
        <v>107.6391662161347</v>
      </c>
      <c r="U339" s="311">
        <f t="shared" ca="1" si="147"/>
        <v>0</v>
      </c>
      <c r="V339" s="306">
        <f t="shared" ca="1" si="148"/>
        <v>1.1794120129565209</v>
      </c>
      <c r="W339" s="304">
        <f t="shared" ca="1" si="149"/>
        <v>205.61871871454875</v>
      </c>
      <c r="Y339" s="314" t="str">
        <f t="shared" ca="1" si="167"/>
        <v/>
      </c>
      <c r="Z339" s="315" t="str">
        <f t="shared" ca="1" si="168"/>
        <v/>
      </c>
      <c r="AA339" s="316" t="str">
        <f t="shared" ca="1" si="169"/>
        <v/>
      </c>
      <c r="AC339" s="310" t="e">
        <f t="shared" ca="1" si="170"/>
        <v>#N/A</v>
      </c>
      <c r="AD339" s="323" t="e">
        <f t="shared" ca="1" si="171"/>
        <v>#N/A</v>
      </c>
      <c r="AE339" s="324">
        <f t="shared" ca="1" si="150"/>
        <v>379.20278885500346</v>
      </c>
      <c r="AG339" s="306">
        <f t="shared" ca="1" si="172"/>
        <v>34.897476296419001</v>
      </c>
      <c r="AH339" s="304">
        <f t="shared" ca="1" si="173"/>
        <v>44.638372776205109</v>
      </c>
    </row>
    <row r="340" spans="1:34" x14ac:dyDescent="0.25">
      <c r="A340" s="347">
        <f t="shared" ca="1" si="151"/>
        <v>0.01</v>
      </c>
      <c r="B340" s="304">
        <f t="shared" ca="1" si="152"/>
        <v>3.3599999999999723</v>
      </c>
      <c r="D340" s="306">
        <f t="shared" ca="1" si="153"/>
        <v>5.2720164845065511</v>
      </c>
      <c r="E340" s="307">
        <f t="shared" ca="1" si="154"/>
        <v>34.35038185675041</v>
      </c>
      <c r="F340" s="304">
        <f t="shared" ca="1" si="155"/>
        <v>34.752595464475405</v>
      </c>
      <c r="G340" s="306">
        <f t="shared" ca="1" si="156"/>
        <v>24.331420031301363</v>
      </c>
      <c r="H340" s="307">
        <f t="shared" ca="1" si="157"/>
        <v>203.71097435645549</v>
      </c>
      <c r="I340" s="304">
        <f t="shared" ca="1" si="158"/>
        <v>205.15891175865619</v>
      </c>
      <c r="J340" s="306">
        <f t="shared" ca="1" si="159"/>
        <v>42.337890076300177</v>
      </c>
      <c r="K340" s="307">
        <f t="shared" ca="1" si="160"/>
        <v>381.23818107947517</v>
      </c>
      <c r="L340" s="304">
        <f t="shared" ca="1" si="145"/>
        <v>383.58186564135116</v>
      </c>
      <c r="M340" s="306">
        <f t="shared" ca="1" si="161"/>
        <v>1.4519186105206372</v>
      </c>
      <c r="N340" s="304">
        <f t="shared" ca="1" si="162"/>
        <v>83.18880857933128</v>
      </c>
      <c r="P340" s="310">
        <f t="shared" ca="1" si="163"/>
        <v>11</v>
      </c>
      <c r="Q340" s="304">
        <f t="shared" ca="1" si="164"/>
        <v>693.45000000000357</v>
      </c>
      <c r="R340" s="306">
        <f t="shared" ca="1" si="165"/>
        <v>0.34737147630728327</v>
      </c>
      <c r="S340" s="307">
        <f t="shared" ca="1" si="166"/>
        <v>10.968918356198669</v>
      </c>
      <c r="T340" s="304">
        <f t="shared" ca="1" si="146"/>
        <v>107.60508907430895</v>
      </c>
      <c r="U340" s="311">
        <f t="shared" ca="1" si="147"/>
        <v>0</v>
      </c>
      <c r="V340" s="306">
        <f t="shared" ca="1" si="148"/>
        <v>1.1791718940063314</v>
      </c>
      <c r="W340" s="304">
        <f t="shared" ca="1" si="149"/>
        <v>206.27470653104561</v>
      </c>
      <c r="Y340" s="314" t="str">
        <f t="shared" ca="1" si="167"/>
        <v/>
      </c>
      <c r="Z340" s="315" t="str">
        <f t="shared" ca="1" si="168"/>
        <v/>
      </c>
      <c r="AA340" s="316" t="str">
        <f t="shared" ca="1" si="169"/>
        <v/>
      </c>
      <c r="AC340" s="310" t="e">
        <f t="shared" ca="1" si="170"/>
        <v>#N/A</v>
      </c>
      <c r="AD340" s="323" t="e">
        <f t="shared" ca="1" si="171"/>
        <v>#N/A</v>
      </c>
      <c r="AE340" s="324">
        <f t="shared" ca="1" si="150"/>
        <v>381.23818107947517</v>
      </c>
      <c r="AG340" s="306">
        <f t="shared" ca="1" si="172"/>
        <v>34.73313360947003</v>
      </c>
      <c r="AH340" s="304">
        <f t="shared" ca="1" si="173"/>
        <v>44.473964108756029</v>
      </c>
    </row>
    <row r="341" spans="1:34" x14ac:dyDescent="0.25">
      <c r="A341" s="347">
        <f t="shared" ca="1" si="151"/>
        <v>0.01</v>
      </c>
      <c r="B341" s="304">
        <f t="shared" ca="1" si="152"/>
        <v>3.3699999999999721</v>
      </c>
      <c r="D341" s="306">
        <f t="shared" ca="1" si="153"/>
        <v>5.2550321887149378</v>
      </c>
      <c r="E341" s="307">
        <f t="shared" ca="1" si="154"/>
        <v>34.186927678717225</v>
      </c>
      <c r="F341" s="304">
        <f t="shared" ca="1" si="155"/>
        <v>34.588457430395358</v>
      </c>
      <c r="G341" s="306">
        <f t="shared" ca="1" si="156"/>
        <v>24.383970353188513</v>
      </c>
      <c r="H341" s="307">
        <f t="shared" ca="1" si="157"/>
        <v>204.05284363324267</v>
      </c>
      <c r="I341" s="304">
        <f t="shared" ca="1" si="158"/>
        <v>205.50460093389094</v>
      </c>
      <c r="J341" s="306">
        <f t="shared" ca="1" si="159"/>
        <v>42.581467028222626</v>
      </c>
      <c r="K341" s="307">
        <f t="shared" ca="1" si="160"/>
        <v>383.27700016942367</v>
      </c>
      <c r="L341" s="304">
        <f t="shared" ca="1" si="145"/>
        <v>385.63511275965004</v>
      </c>
      <c r="M341" s="306">
        <f t="shared" ca="1" si="161"/>
        <v>1.4518619964311095</v>
      </c>
      <c r="N341" s="304">
        <f t="shared" ca="1" si="162"/>
        <v>83.185564830940365</v>
      </c>
      <c r="P341" s="310">
        <f t="shared" ca="1" si="163"/>
        <v>11</v>
      </c>
      <c r="Q341" s="304">
        <f t="shared" ca="1" si="164"/>
        <v>692.15000000000362</v>
      </c>
      <c r="R341" s="306">
        <f t="shared" ca="1" si="165"/>
        <v>0.34672026436813919</v>
      </c>
      <c r="S341" s="307">
        <f t="shared" ca="1" si="166"/>
        <v>10.965451153554987</v>
      </c>
      <c r="T341" s="304">
        <f t="shared" ca="1" si="146"/>
        <v>107.57107581637443</v>
      </c>
      <c r="U341" s="311">
        <f t="shared" ca="1" si="147"/>
        <v>0</v>
      </c>
      <c r="V341" s="306">
        <f t="shared" ca="1" si="148"/>
        <v>1.1789314188583475</v>
      </c>
      <c r="W341" s="304">
        <f t="shared" ca="1" si="149"/>
        <v>206.92822207644258</v>
      </c>
      <c r="Y341" s="314" t="str">
        <f t="shared" ca="1" si="167"/>
        <v/>
      </c>
      <c r="Z341" s="315" t="str">
        <f t="shared" ca="1" si="168"/>
        <v/>
      </c>
      <c r="AA341" s="316" t="str">
        <f t="shared" ca="1" si="169"/>
        <v/>
      </c>
      <c r="AC341" s="310" t="e">
        <f t="shared" ca="1" si="170"/>
        <v>#N/A</v>
      </c>
      <c r="AD341" s="323" t="e">
        <f t="shared" ca="1" si="171"/>
        <v>#N/A</v>
      </c>
      <c r="AE341" s="324">
        <f t="shared" ca="1" si="150"/>
        <v>383.27700016942367</v>
      </c>
      <c r="AG341" s="306">
        <f t="shared" ca="1" si="172"/>
        <v>34.568884589765133</v>
      </c>
      <c r="AH341" s="304">
        <f t="shared" ca="1" si="173"/>
        <v>44.309649157612434</v>
      </c>
    </row>
    <row r="342" spans="1:34" x14ac:dyDescent="0.25">
      <c r="A342" s="347">
        <f t="shared" ca="1" si="151"/>
        <v>0.01</v>
      </c>
      <c r="B342" s="304">
        <f t="shared" ca="1" si="152"/>
        <v>3.3799999999999719</v>
      </c>
      <c r="D342" s="306">
        <f t="shared" ca="1" si="153"/>
        <v>5.2380376933241033</v>
      </c>
      <c r="E342" s="307">
        <f t="shared" ca="1" si="154"/>
        <v>34.023570616244243</v>
      </c>
      <c r="F342" s="304">
        <f t="shared" ca="1" si="155"/>
        <v>34.424415700999816</v>
      </c>
      <c r="G342" s="306">
        <f t="shared" ca="1" si="156"/>
        <v>24.436350730121752</v>
      </c>
      <c r="H342" s="307">
        <f t="shared" ca="1" si="157"/>
        <v>204.39307933940512</v>
      </c>
      <c r="I342" s="304">
        <f t="shared" ca="1" si="158"/>
        <v>205.84864857183271</v>
      </c>
      <c r="J342" s="306">
        <f t="shared" ca="1" si="159"/>
        <v>42.825568633639179</v>
      </c>
      <c r="K342" s="307">
        <f t="shared" ca="1" si="160"/>
        <v>385.3192297842869</v>
      </c>
      <c r="L342" s="304">
        <f t="shared" ca="1" si="145"/>
        <v>387.69180823219699</v>
      </c>
      <c r="M342" s="306">
        <f t="shared" ca="1" si="161"/>
        <v>1.4518054501745132</v>
      </c>
      <c r="N342" s="304">
        <f t="shared" ca="1" si="162"/>
        <v>83.182324969090132</v>
      </c>
      <c r="P342" s="310">
        <f t="shared" ca="1" si="163"/>
        <v>11</v>
      </c>
      <c r="Q342" s="304">
        <f t="shared" ca="1" si="164"/>
        <v>690.85000000000366</v>
      </c>
      <c r="R342" s="306">
        <f t="shared" ca="1" si="165"/>
        <v>0.34606905242899516</v>
      </c>
      <c r="S342" s="307">
        <f t="shared" ca="1" si="166"/>
        <v>10.961990463030697</v>
      </c>
      <c r="T342" s="304">
        <f t="shared" ca="1" si="146"/>
        <v>107.53712644233114</v>
      </c>
      <c r="U342" s="311">
        <f t="shared" ca="1" si="147"/>
        <v>0</v>
      </c>
      <c r="V342" s="306">
        <f t="shared" ca="1" si="148"/>
        <v>1.1786905896674795</v>
      </c>
      <c r="W342" s="304">
        <f t="shared" ca="1" si="149"/>
        <v>207.57925163385946</v>
      </c>
      <c r="Y342" s="314" t="str">
        <f t="shared" ca="1" si="167"/>
        <v/>
      </c>
      <c r="Z342" s="315" t="str">
        <f t="shared" ca="1" si="168"/>
        <v/>
      </c>
      <c r="AA342" s="316" t="str">
        <f t="shared" ca="1" si="169"/>
        <v/>
      </c>
      <c r="AC342" s="310" t="e">
        <f t="shared" ca="1" si="170"/>
        <v>#N/A</v>
      </c>
      <c r="AD342" s="323" t="e">
        <f t="shared" ca="1" si="171"/>
        <v>#N/A</v>
      </c>
      <c r="AE342" s="324">
        <f t="shared" ca="1" si="150"/>
        <v>385.3192297842869</v>
      </c>
      <c r="AG342" s="306">
        <f t="shared" ca="1" si="172"/>
        <v>34.404730884338889</v>
      </c>
      <c r="AH342" s="304">
        <f t="shared" ca="1" si="173"/>
        <v>44.145429569163269</v>
      </c>
    </row>
    <row r="343" spans="1:34" x14ac:dyDescent="0.25">
      <c r="A343" s="347">
        <f t="shared" ca="1" si="151"/>
        <v>0.01</v>
      </c>
      <c r="B343" s="304">
        <f t="shared" ca="1" si="152"/>
        <v>3.3899999999999717</v>
      </c>
      <c r="D343" s="306">
        <f t="shared" ca="1" si="153"/>
        <v>5.2210332705391354</v>
      </c>
      <c r="E343" s="307">
        <f t="shared" ca="1" si="154"/>
        <v>33.860312285359079</v>
      </c>
      <c r="F343" s="304">
        <f t="shared" ca="1" si="155"/>
        <v>34.260471924276167</v>
      </c>
      <c r="G343" s="306">
        <f t="shared" ca="1" si="156"/>
        <v>24.488561062827145</v>
      </c>
      <c r="H343" s="307">
        <f t="shared" ca="1" si="157"/>
        <v>204.7316824622587</v>
      </c>
      <c r="I343" s="304">
        <f t="shared" ca="1" si="158"/>
        <v>206.19105564198205</v>
      </c>
      <c r="J343" s="306">
        <f t="shared" ca="1" si="159"/>
        <v>43.070193192603924</v>
      </c>
      <c r="K343" s="307">
        <f t="shared" ca="1" si="160"/>
        <v>387.36485359329521</v>
      </c>
      <c r="L343" s="304">
        <f t="shared" ca="1" si="145"/>
        <v>389.7519356475388</v>
      </c>
      <c r="M343" s="306">
        <f t="shared" ca="1" si="161"/>
        <v>1.451748971107331</v>
      </c>
      <c r="N343" s="304">
        <f t="shared" ca="1" si="162"/>
        <v>83.179088956909752</v>
      </c>
      <c r="P343" s="310">
        <f t="shared" ca="1" si="163"/>
        <v>11</v>
      </c>
      <c r="Q343" s="304">
        <f t="shared" ca="1" si="164"/>
        <v>689.55000000000371</v>
      </c>
      <c r="R343" s="306">
        <f t="shared" ca="1" si="165"/>
        <v>0.34541784048985108</v>
      </c>
      <c r="S343" s="307">
        <f t="shared" ca="1" si="166"/>
        <v>10.958536284625797</v>
      </c>
      <c r="T343" s="304">
        <f t="shared" ca="1" si="146"/>
        <v>107.50324095217907</v>
      </c>
      <c r="U343" s="311">
        <f t="shared" ca="1" si="147"/>
        <v>0</v>
      </c>
      <c r="V343" s="306">
        <f t="shared" ca="1" si="148"/>
        <v>1.1784494085862058</v>
      </c>
      <c r="W343" s="304">
        <f t="shared" ca="1" si="149"/>
        <v>208.22778163207849</v>
      </c>
      <c r="Y343" s="314" t="str">
        <f t="shared" ca="1" si="167"/>
        <v/>
      </c>
      <c r="Z343" s="315" t="str">
        <f t="shared" ca="1" si="168"/>
        <v/>
      </c>
      <c r="AA343" s="316" t="str">
        <f t="shared" ca="1" si="169"/>
        <v/>
      </c>
      <c r="AC343" s="310" t="e">
        <f t="shared" ca="1" si="170"/>
        <v>#N/A</v>
      </c>
      <c r="AD343" s="323" t="e">
        <f t="shared" ca="1" si="171"/>
        <v>#N/A</v>
      </c>
      <c r="AE343" s="324">
        <f t="shared" ca="1" si="150"/>
        <v>387.36485359329521</v>
      </c>
      <c r="AG343" s="306">
        <f t="shared" ca="1" si="172"/>
        <v>34.240674128649246</v>
      </c>
      <c r="AH343" s="304">
        <f t="shared" ca="1" si="173"/>
        <v>43.981306978224978</v>
      </c>
    </row>
    <row r="344" spans="1:34" x14ac:dyDescent="0.25">
      <c r="A344" s="347">
        <f t="shared" ca="1" si="151"/>
        <v>0.01</v>
      </c>
      <c r="B344" s="304">
        <f t="shared" ca="1" si="152"/>
        <v>3.3999999999999715</v>
      </c>
      <c r="D344" s="306">
        <f t="shared" ca="1" si="153"/>
        <v>5.2040191908837574</v>
      </c>
      <c r="E344" s="307">
        <f t="shared" ca="1" si="154"/>
        <v>33.697154290612836</v>
      </c>
      <c r="F344" s="304">
        <f t="shared" ca="1" si="155"/>
        <v>34.096627736837164</v>
      </c>
      <c r="G344" s="306">
        <f t="shared" ca="1" si="156"/>
        <v>24.540601254735982</v>
      </c>
      <c r="H344" s="307">
        <f t="shared" ca="1" si="157"/>
        <v>205.06865400516483</v>
      </c>
      <c r="I344" s="304">
        <f t="shared" ca="1" si="158"/>
        <v>206.53182313007832</v>
      </c>
      <c r="J344" s="306">
        <f t="shared" ca="1" si="159"/>
        <v>43.315339004191742</v>
      </c>
      <c r="K344" s="307">
        <f t="shared" ca="1" si="160"/>
        <v>389.41385527563233</v>
      </c>
      <c r="L344" s="304">
        <f t="shared" ca="1" si="145"/>
        <v>391.81547860399689</v>
      </c>
      <c r="M344" s="306">
        <f t="shared" ca="1" si="161"/>
        <v>1.4516925585908123</v>
      </c>
      <c r="N344" s="304">
        <f t="shared" ca="1" si="162"/>
        <v>83.175856757801526</v>
      </c>
      <c r="P344" s="310">
        <f t="shared" ca="1" si="163"/>
        <v>11</v>
      </c>
      <c r="Q344" s="304">
        <f t="shared" ca="1" si="164"/>
        <v>688.25000000000375</v>
      </c>
      <c r="R344" s="306">
        <f t="shared" ca="1" si="165"/>
        <v>0.344766628550707</v>
      </c>
      <c r="S344" s="307">
        <f t="shared" ca="1" si="166"/>
        <v>10.955088618340291</v>
      </c>
      <c r="T344" s="304">
        <f t="shared" ca="1" si="146"/>
        <v>107.46941934591825</v>
      </c>
      <c r="U344" s="311">
        <f t="shared" ca="1" si="147"/>
        <v>0</v>
      </c>
      <c r="V344" s="306">
        <f t="shared" ca="1" si="148"/>
        <v>1.1782078777645466</v>
      </c>
      <c r="W344" s="304">
        <f t="shared" ca="1" si="149"/>
        <v>208.8737986452953</v>
      </c>
      <c r="Y344" s="314" t="str">
        <f t="shared" ca="1" si="167"/>
        <v/>
      </c>
      <c r="Z344" s="315" t="str">
        <f t="shared" ca="1" si="168"/>
        <v/>
      </c>
      <c r="AA344" s="316" t="str">
        <f t="shared" ca="1" si="169"/>
        <v/>
      </c>
      <c r="AC344" s="310" t="e">
        <f t="shared" ca="1" si="170"/>
        <v>#N/A</v>
      </c>
      <c r="AD344" s="323" t="e">
        <f t="shared" ca="1" si="171"/>
        <v>#N/A</v>
      </c>
      <c r="AE344" s="324">
        <f t="shared" ca="1" si="150"/>
        <v>389.41385527563233</v>
      </c>
      <c r="AG344" s="306">
        <f t="shared" ca="1" si="172"/>
        <v>34.076715946571625</v>
      </c>
      <c r="AH344" s="304">
        <f t="shared" ca="1" si="173"/>
        <v>43.81728300803551</v>
      </c>
    </row>
    <row r="345" spans="1:34" x14ac:dyDescent="0.25">
      <c r="A345" s="347">
        <f t="shared" ca="1" si="151"/>
        <v>0.01</v>
      </c>
      <c r="B345" s="304">
        <f t="shared" ca="1" si="152"/>
        <v>3.4099999999999713</v>
      </c>
      <c r="D345" s="306">
        <f t="shared" ca="1" si="153"/>
        <v>5.1869957232024309</v>
      </c>
      <c r="E345" s="307">
        <f t="shared" ca="1" si="154"/>
        <v>33.534098225074736</v>
      </c>
      <c r="F345" s="304">
        <f t="shared" ca="1" si="155"/>
        <v>33.9328847639201</v>
      </c>
      <c r="G345" s="306">
        <f t="shared" ca="1" si="156"/>
        <v>24.592471211968007</v>
      </c>
      <c r="H345" s="307">
        <f t="shared" ca="1" si="157"/>
        <v>205.40399498741559</v>
      </c>
      <c r="I345" s="304">
        <f t="shared" ca="1" si="158"/>
        <v>206.87095203798361</v>
      </c>
      <c r="J345" s="306">
        <f t="shared" ca="1" si="159"/>
        <v>43.56100436652526</v>
      </c>
      <c r="K345" s="307">
        <f t="shared" ca="1" si="160"/>
        <v>391.46621852059525</v>
      </c>
      <c r="L345" s="304">
        <f t="shared" ca="1" si="145"/>
        <v>393.8824207098292</v>
      </c>
      <c r="M345" s="306">
        <f t="shared" ca="1" si="161"/>
        <v>1.4516362119909172</v>
      </c>
      <c r="N345" s="304">
        <f t="shared" ca="1" si="162"/>
        <v>83.172628335437622</v>
      </c>
      <c r="P345" s="310">
        <f t="shared" ca="1" si="163"/>
        <v>11</v>
      </c>
      <c r="Q345" s="304">
        <f t="shared" ca="1" si="164"/>
        <v>686.95000000000368</v>
      </c>
      <c r="R345" s="306">
        <f t="shared" ca="1" si="165"/>
        <v>0.34411541661156292</v>
      </c>
      <c r="S345" s="307">
        <f t="shared" ca="1" si="166"/>
        <v>10.951647464174176</v>
      </c>
      <c r="T345" s="304">
        <f t="shared" ca="1" si="146"/>
        <v>107.43566162354867</v>
      </c>
      <c r="U345" s="311">
        <f t="shared" ca="1" si="147"/>
        <v>0</v>
      </c>
      <c r="V345" s="306">
        <f t="shared" ca="1" si="148"/>
        <v>1.1779659993500438</v>
      </c>
      <c r="W345" s="304">
        <f t="shared" ca="1" si="149"/>
        <v>209.51728939286232</v>
      </c>
      <c r="Y345" s="314" t="str">
        <f t="shared" ca="1" si="167"/>
        <v/>
      </c>
      <c r="Z345" s="315" t="str">
        <f t="shared" ca="1" si="168"/>
        <v/>
      </c>
      <c r="AA345" s="316" t="str">
        <f t="shared" ca="1" si="169"/>
        <v/>
      </c>
      <c r="AC345" s="310" t="e">
        <f t="shared" ca="1" si="170"/>
        <v>#N/A</v>
      </c>
      <c r="AD345" s="323" t="e">
        <f t="shared" ca="1" si="171"/>
        <v>#N/A</v>
      </c>
      <c r="AE345" s="324">
        <f t="shared" ca="1" si="150"/>
        <v>391.46621852059525</v>
      </c>
      <c r="AG345" s="306">
        <f t="shared" ca="1" si="172"/>
        <v>33.912857950393764</v>
      </c>
      <c r="AH345" s="304">
        <f t="shared" ca="1" si="173"/>
        <v>43.653359270249148</v>
      </c>
    </row>
    <row r="346" spans="1:34" x14ac:dyDescent="0.25">
      <c r="A346" s="347">
        <f t="shared" ca="1" si="151"/>
        <v>0.01</v>
      </c>
      <c r="B346" s="304">
        <f t="shared" ca="1" si="152"/>
        <v>3.4199999999999711</v>
      </c>
      <c r="D346" s="306">
        <f t="shared" ca="1" si="153"/>
        <v>5.169963134662459</v>
      </c>
      <c r="E346" s="307">
        <f t="shared" ca="1" si="154"/>
        <v>33.371145670327721</v>
      </c>
      <c r="F346" s="304">
        <f t="shared" ca="1" si="155"/>
        <v>33.769244619387052</v>
      </c>
      <c r="G346" s="306">
        <f t="shared" ca="1" si="156"/>
        <v>24.644170843314633</v>
      </c>
      <c r="H346" s="307">
        <f t="shared" ca="1" si="157"/>
        <v>205.73770644411886</v>
      </c>
      <c r="I346" s="304">
        <f t="shared" ca="1" si="158"/>
        <v>207.20844338356704</v>
      </c>
      <c r="J346" s="306">
        <f t="shared" ca="1" si="159"/>
        <v>43.807187576801674</v>
      </c>
      <c r="K346" s="307">
        <f t="shared" ca="1" si="160"/>
        <v>393.52192702775289</v>
      </c>
      <c r="L346" s="304">
        <f t="shared" ca="1" si="145"/>
        <v>395.95274558339054</v>
      </c>
      <c r="M346" s="306">
        <f t="shared" ca="1" si="161"/>
        <v>1.4515799306782604</v>
      </c>
      <c r="N346" s="304">
        <f t="shared" ca="1" si="162"/>
        <v>83.16940365375693</v>
      </c>
      <c r="P346" s="310">
        <f t="shared" ca="1" si="163"/>
        <v>11</v>
      </c>
      <c r="Q346" s="304">
        <f t="shared" ca="1" si="164"/>
        <v>685.65000000000373</v>
      </c>
      <c r="R346" s="306">
        <f t="shared" ca="1" si="165"/>
        <v>0.34346420467241884</v>
      </c>
      <c r="S346" s="307">
        <f t="shared" ca="1" si="166"/>
        <v>10.948212822127452</v>
      </c>
      <c r="T346" s="304">
        <f t="shared" ca="1" si="146"/>
        <v>107.40196778507031</v>
      </c>
      <c r="U346" s="311">
        <f t="shared" ca="1" si="147"/>
        <v>0</v>
      </c>
      <c r="V346" s="306">
        <f t="shared" ca="1" si="148"/>
        <v>1.1777237754877337</v>
      </c>
      <c r="W346" s="304">
        <f t="shared" ca="1" si="149"/>
        <v>210.15824073902542</v>
      </c>
      <c r="Y346" s="314" t="str">
        <f t="shared" ca="1" si="167"/>
        <v/>
      </c>
      <c r="Z346" s="315" t="str">
        <f t="shared" ca="1" si="168"/>
        <v/>
      </c>
      <c r="AA346" s="316" t="str">
        <f t="shared" ca="1" si="169"/>
        <v/>
      </c>
      <c r="AC346" s="310" t="e">
        <f t="shared" ca="1" si="170"/>
        <v>#N/A</v>
      </c>
      <c r="AD346" s="323" t="e">
        <f t="shared" ca="1" si="171"/>
        <v>#N/A</v>
      </c>
      <c r="AE346" s="324">
        <f t="shared" ca="1" si="150"/>
        <v>393.52192702775289</v>
      </c>
      <c r="AG346" s="306">
        <f t="shared" ca="1" si="172"/>
        <v>33.74910174081144</v>
      </c>
      <c r="AH346" s="304">
        <f t="shared" ca="1" si="173"/>
        <v>43.489537364932175</v>
      </c>
    </row>
    <row r="347" spans="1:34" x14ac:dyDescent="0.25">
      <c r="A347" s="347">
        <f t="shared" ca="1" si="151"/>
        <v>0.01</v>
      </c>
      <c r="B347" s="304">
        <f t="shared" ca="1" si="152"/>
        <v>3.4299999999999708</v>
      </c>
      <c r="D347" s="306">
        <f t="shared" ca="1" si="153"/>
        <v>5.1529216907561732</v>
      </c>
      <c r="E347" s="307">
        <f t="shared" ca="1" si="154"/>
        <v>33.208298196464575</v>
      </c>
      <c r="F347" s="304">
        <f t="shared" ca="1" si="155"/>
        <v>33.605708905725791</v>
      </c>
      <c r="G347" s="306">
        <f t="shared" ca="1" si="156"/>
        <v>24.695700060222194</v>
      </c>
      <c r="H347" s="307">
        <f t="shared" ca="1" si="157"/>
        <v>206.0697894260835</v>
      </c>
      <c r="I347" s="304">
        <f t="shared" ca="1" si="158"/>
        <v>207.54429820058863</v>
      </c>
      <c r="J347" s="306">
        <f t="shared" ca="1" si="159"/>
        <v>44.053886931319362</v>
      </c>
      <c r="K347" s="307">
        <f t="shared" ca="1" si="160"/>
        <v>395.58096450710389</v>
      </c>
      <c r="L347" s="304">
        <f t="shared" ca="1" si="145"/>
        <v>398.02643685329252</v>
      </c>
      <c r="M347" s="306">
        <f t="shared" ca="1" si="161"/>
        <v>1.4515237140280566</v>
      </c>
      <c r="N347" s="304">
        <f t="shared" ca="1" si="162"/>
        <v>83.166182676961881</v>
      </c>
      <c r="P347" s="310">
        <f t="shared" ca="1" si="163"/>
        <v>11</v>
      </c>
      <c r="Q347" s="304">
        <f t="shared" ca="1" si="164"/>
        <v>684.35000000000377</v>
      </c>
      <c r="R347" s="306">
        <f t="shared" ca="1" si="165"/>
        <v>0.34281299273327476</v>
      </c>
      <c r="S347" s="307">
        <f t="shared" ca="1" si="166"/>
        <v>10.94478469220012</v>
      </c>
      <c r="T347" s="304">
        <f t="shared" ca="1" si="146"/>
        <v>107.36833783048318</v>
      </c>
      <c r="U347" s="311">
        <f t="shared" ca="1" si="147"/>
        <v>0</v>
      </c>
      <c r="V347" s="306">
        <f t="shared" ca="1" si="148"/>
        <v>1.1774812083201269</v>
      </c>
      <c r="W347" s="304">
        <f t="shared" ca="1" si="149"/>
        <v>210.79663969265351</v>
      </c>
      <c r="Y347" s="314" t="str">
        <f t="shared" ca="1" si="167"/>
        <v/>
      </c>
      <c r="Z347" s="315" t="str">
        <f t="shared" ca="1" si="168"/>
        <v/>
      </c>
      <c r="AA347" s="316" t="str">
        <f t="shared" ca="1" si="169"/>
        <v/>
      </c>
      <c r="AC347" s="310" t="e">
        <f t="shared" ca="1" si="170"/>
        <v>#N/A</v>
      </c>
      <c r="AD347" s="323" t="e">
        <f t="shared" ca="1" si="171"/>
        <v>#N/A</v>
      </c>
      <c r="AE347" s="324">
        <f t="shared" ca="1" si="150"/>
        <v>395.58096450710389</v>
      </c>
      <c r="AG347" s="306">
        <f t="shared" ca="1" si="172"/>
        <v>33.585448906924782</v>
      </c>
      <c r="AH347" s="304">
        <f t="shared" ca="1" si="173"/>
        <v>43.325818880559119</v>
      </c>
    </row>
    <row r="348" spans="1:34" x14ac:dyDescent="0.25">
      <c r="A348" s="347">
        <f t="shared" ca="1" si="151"/>
        <v>0.01</v>
      </c>
      <c r="B348" s="304">
        <f t="shared" ca="1" si="152"/>
        <v>3.4399999999999706</v>
      </c>
      <c r="D348" s="306">
        <f t="shared" ca="1" si="153"/>
        <v>5.1358716553030703</v>
      </c>
      <c r="E348" s="307">
        <f t="shared" ca="1" si="154"/>
        <v>33.045557362084878</v>
      </c>
      <c r="F348" s="304">
        <f t="shared" ca="1" si="155"/>
        <v>33.442279214051602</v>
      </c>
      <c r="G348" s="306">
        <f t="shared" ca="1" si="156"/>
        <v>24.747058776775226</v>
      </c>
      <c r="H348" s="307">
        <f t="shared" ca="1" si="157"/>
        <v>206.40024499970434</v>
      </c>
      <c r="I348" s="304">
        <f t="shared" ca="1" si="158"/>
        <v>207.87851753858345</v>
      </c>
      <c r="J348" s="306">
        <f t="shared" ca="1" si="159"/>
        <v>44.301100725504348</v>
      </c>
      <c r="K348" s="307">
        <f t="shared" ca="1" si="160"/>
        <v>397.64331467923284</v>
      </c>
      <c r="L348" s="304">
        <f t="shared" ca="1" si="145"/>
        <v>400.10347815856176</v>
      </c>
      <c r="M348" s="306">
        <f t="shared" ca="1" si="161"/>
        <v>1.4514675614200658</v>
      </c>
      <c r="N348" s="304">
        <f t="shared" ca="1" si="162"/>
        <v>83.162965369515362</v>
      </c>
      <c r="P348" s="310">
        <f t="shared" ca="1" si="163"/>
        <v>11</v>
      </c>
      <c r="Q348" s="304">
        <f t="shared" ca="1" si="164"/>
        <v>683.05000000000382</v>
      </c>
      <c r="R348" s="306">
        <f t="shared" ca="1" si="165"/>
        <v>0.34216178079413073</v>
      </c>
      <c r="S348" s="307">
        <f t="shared" ca="1" si="166"/>
        <v>10.941363074392179</v>
      </c>
      <c r="T348" s="304">
        <f t="shared" ca="1" si="146"/>
        <v>107.33477175978727</v>
      </c>
      <c r="U348" s="311">
        <f t="shared" ca="1" si="147"/>
        <v>0</v>
      </c>
      <c r="V348" s="306">
        <f t="shared" ca="1" si="148"/>
        <v>1.1772382999871847</v>
      </c>
      <c r="W348" s="304">
        <f t="shared" ca="1" si="149"/>
        <v>211.43247340696152</v>
      </c>
      <c r="Y348" s="314" t="str">
        <f t="shared" ca="1" si="167"/>
        <v/>
      </c>
      <c r="Z348" s="315" t="str">
        <f t="shared" ca="1" si="168"/>
        <v/>
      </c>
      <c r="AA348" s="316" t="str">
        <f t="shared" ca="1" si="169"/>
        <v/>
      </c>
      <c r="AC348" s="310" t="e">
        <f t="shared" ca="1" si="170"/>
        <v>#N/A</v>
      </c>
      <c r="AD348" s="323" t="e">
        <f t="shared" ca="1" si="171"/>
        <v>#N/A</v>
      </c>
      <c r="AE348" s="324">
        <f t="shared" ca="1" si="150"/>
        <v>397.64331467923284</v>
      </c>
      <c r="AG348" s="306">
        <f t="shared" ca="1" si="172"/>
        <v>33.421901026235389</v>
      </c>
      <c r="AH348" s="304">
        <f t="shared" ca="1" si="173"/>
        <v>43.162205394009852</v>
      </c>
    </row>
    <row r="349" spans="1:34" x14ac:dyDescent="0.25">
      <c r="A349" s="347">
        <f t="shared" ca="1" si="151"/>
        <v>0.01</v>
      </c>
      <c r="B349" s="304">
        <f t="shared" ca="1" si="152"/>
        <v>3.4499999999999704</v>
      </c>
      <c r="D349" s="306">
        <f t="shared" ca="1" si="153"/>
        <v>5.1188132904520325</v>
      </c>
      <c r="E349" s="307">
        <f t="shared" ca="1" si="154"/>
        <v>32.882924714292706</v>
      </c>
      <c r="F349" s="304">
        <f t="shared" ca="1" si="155"/>
        <v>33.278957124109979</v>
      </c>
      <c r="G349" s="306">
        <f t="shared" ca="1" si="156"/>
        <v>24.798246909679747</v>
      </c>
      <c r="H349" s="307">
        <f t="shared" ca="1" si="157"/>
        <v>206.72907424684726</v>
      </c>
      <c r="I349" s="304">
        <f t="shared" ca="1" si="158"/>
        <v>208.21110246274557</v>
      </c>
      <c r="J349" s="306">
        <f t="shared" ca="1" si="159"/>
        <v>44.548827253936622</v>
      </c>
      <c r="K349" s="307">
        <f t="shared" ca="1" si="160"/>
        <v>399.70896127546558</v>
      </c>
      <c r="L349" s="304">
        <f t="shared" ca="1" si="145"/>
        <v>402.18385314879652</v>
      </c>
      <c r="M349" s="306">
        <f t="shared" ca="1" si="161"/>
        <v>1.4514114722385412</v>
      </c>
      <c r="N349" s="304">
        <f t="shared" ca="1" si="162"/>
        <v>83.159751696137661</v>
      </c>
      <c r="P349" s="310">
        <f t="shared" ca="1" si="163"/>
        <v>11</v>
      </c>
      <c r="Q349" s="304">
        <f t="shared" ca="1" si="164"/>
        <v>681.75000000000387</v>
      </c>
      <c r="R349" s="306">
        <f t="shared" ca="1" si="165"/>
        <v>0.34151056885498665</v>
      </c>
      <c r="S349" s="307">
        <f t="shared" ca="1" si="166"/>
        <v>10.937947968703629</v>
      </c>
      <c r="T349" s="304">
        <f t="shared" ca="1" si="146"/>
        <v>107.3012695729826</v>
      </c>
      <c r="U349" s="311">
        <f t="shared" ca="1" si="147"/>
        <v>0</v>
      </c>
      <c r="V349" s="306">
        <f t="shared" ca="1" si="148"/>
        <v>1.1769950526262969</v>
      </c>
      <c r="W349" s="304">
        <f t="shared" ca="1" si="149"/>
        <v>212.06572917922563</v>
      </c>
      <c r="Y349" s="314" t="str">
        <f t="shared" ca="1" si="167"/>
        <v/>
      </c>
      <c r="Z349" s="315" t="str">
        <f t="shared" ca="1" si="168"/>
        <v/>
      </c>
      <c r="AA349" s="316" t="str">
        <f t="shared" ca="1" si="169"/>
        <v/>
      </c>
      <c r="AC349" s="310" t="e">
        <f t="shared" ca="1" si="170"/>
        <v>#N/A</v>
      </c>
      <c r="AD349" s="323" t="e">
        <f t="shared" ca="1" si="171"/>
        <v>#N/A</v>
      </c>
      <c r="AE349" s="324">
        <f t="shared" ca="1" si="150"/>
        <v>399.70896127546558</v>
      </c>
      <c r="AG349" s="306">
        <f t="shared" ca="1" si="172"/>
        <v>33.258459664644171</v>
      </c>
      <c r="AH349" s="304">
        <f t="shared" ca="1" si="173"/>
        <v>42.998698470567383</v>
      </c>
    </row>
    <row r="350" spans="1:34" x14ac:dyDescent="0.25">
      <c r="A350" s="347">
        <f t="shared" ca="1" si="151"/>
        <v>0.01</v>
      </c>
      <c r="B350" s="304">
        <f t="shared" ca="1" si="152"/>
        <v>3.4599999999999702</v>
      </c>
      <c r="D350" s="306">
        <f t="shared" ca="1" si="153"/>
        <v>5.1017468566835085</v>
      </c>
      <c r="E350" s="307">
        <f t="shared" ca="1" si="154"/>
        <v>32.720401788695071</v>
      </c>
      <c r="F350" s="304">
        <f t="shared" ca="1" si="155"/>
        <v>33.115744204280233</v>
      </c>
      <c r="G350" s="306">
        <f t="shared" ca="1" si="156"/>
        <v>24.849264378246584</v>
      </c>
      <c r="H350" s="307">
        <f t="shared" ca="1" si="157"/>
        <v>207.0562782647342</v>
      </c>
      <c r="I350" s="304">
        <f t="shared" ca="1" si="158"/>
        <v>208.54205405381197</v>
      </c>
      <c r="J350" s="306">
        <f t="shared" ca="1" si="159"/>
        <v>44.797064810376256</v>
      </c>
      <c r="K350" s="307">
        <f t="shared" ca="1" si="160"/>
        <v>401.77788803802349</v>
      </c>
      <c r="L350" s="304">
        <f t="shared" ca="1" si="145"/>
        <v>404.26754548432353</v>
      </c>
      <c r="M350" s="306">
        <f t="shared" ca="1" si="161"/>
        <v>1.451355445872174</v>
      </c>
      <c r="N350" s="304">
        <f t="shared" ca="1" si="162"/>
        <v>83.15654162180337</v>
      </c>
      <c r="P350" s="310">
        <f t="shared" ca="1" si="163"/>
        <v>11</v>
      </c>
      <c r="Q350" s="304">
        <f t="shared" ca="1" si="164"/>
        <v>680.45000000000391</v>
      </c>
      <c r="R350" s="306">
        <f t="shared" ca="1" si="165"/>
        <v>0.34085935691584257</v>
      </c>
      <c r="S350" s="307">
        <f t="shared" ca="1" si="166"/>
        <v>10.93453937513447</v>
      </c>
      <c r="T350" s="304">
        <f t="shared" ca="1" si="146"/>
        <v>107.26783127006915</v>
      </c>
      <c r="U350" s="311">
        <f t="shared" ca="1" si="147"/>
        <v>0</v>
      </c>
      <c r="V350" s="306">
        <f t="shared" ca="1" si="148"/>
        <v>1.1767514683722586</v>
      </c>
      <c r="W350" s="304">
        <f t="shared" ca="1" si="149"/>
        <v>212.69639445049248</v>
      </c>
      <c r="Y350" s="314" t="str">
        <f t="shared" ca="1" si="167"/>
        <v/>
      </c>
      <c r="Z350" s="315" t="str">
        <f t="shared" ca="1" si="168"/>
        <v/>
      </c>
      <c r="AA350" s="316" t="str">
        <f t="shared" ca="1" si="169"/>
        <v/>
      </c>
      <c r="AC350" s="310" t="e">
        <f t="shared" ca="1" si="170"/>
        <v>#N/A</v>
      </c>
      <c r="AD350" s="323" t="e">
        <f t="shared" ca="1" si="171"/>
        <v>#N/A</v>
      </c>
      <c r="AE350" s="324">
        <f t="shared" ca="1" si="150"/>
        <v>401.77788803802349</v>
      </c>
      <c r="AG350" s="306">
        <f t="shared" ca="1" si="172"/>
        <v>33.095126376449969</v>
      </c>
      <c r="AH350" s="304">
        <f t="shared" ca="1" si="173"/>
        <v>42.835299663916409</v>
      </c>
    </row>
    <row r="351" spans="1:34" x14ac:dyDescent="0.25">
      <c r="A351" s="347">
        <f t="shared" ca="1" si="151"/>
        <v>0.01</v>
      </c>
      <c r="B351" s="304">
        <f t="shared" ca="1" si="152"/>
        <v>3.46999999999997</v>
      </c>
      <c r="D351" s="306">
        <f t="shared" ca="1" si="153"/>
        <v>5.0846726128118389</v>
      </c>
      <c r="E351" s="307">
        <f t="shared" ca="1" si="154"/>
        <v>32.55799010940099</v>
      </c>
      <c r="F351" s="304">
        <f t="shared" ca="1" si="155"/>
        <v>32.952642011579762</v>
      </c>
      <c r="G351" s="306">
        <f t="shared" ca="1" si="156"/>
        <v>24.900111104374702</v>
      </c>
      <c r="H351" s="307">
        <f t="shared" ca="1" si="157"/>
        <v>207.38185816582822</v>
      </c>
      <c r="I351" s="304">
        <f t="shared" ca="1" si="158"/>
        <v>208.87137340794669</v>
      </c>
      <c r="J351" s="306">
        <f t="shared" ca="1" si="159"/>
        <v>45.04581168778936</v>
      </c>
      <c r="K351" s="307">
        <f t="shared" ca="1" si="160"/>
        <v>403.85007872017633</v>
      </c>
      <c r="L351" s="304">
        <f t="shared" ca="1" si="145"/>
        <v>406.35453883635211</v>
      </c>
      <c r="M351" s="306">
        <f t="shared" ca="1" si="161"/>
        <v>1.4512994817140443</v>
      </c>
      <c r="N351" s="304">
        <f t="shared" ca="1" si="162"/>
        <v>83.153335111738528</v>
      </c>
      <c r="P351" s="310">
        <f t="shared" ca="1" si="163"/>
        <v>11</v>
      </c>
      <c r="Q351" s="304">
        <f t="shared" ca="1" si="164"/>
        <v>679.15000000000396</v>
      </c>
      <c r="R351" s="306">
        <f t="shared" ca="1" si="165"/>
        <v>0.34020814497669855</v>
      </c>
      <c r="S351" s="307">
        <f t="shared" ca="1" si="166"/>
        <v>10.931137293684703</v>
      </c>
      <c r="T351" s="304">
        <f t="shared" ca="1" si="146"/>
        <v>107.23445685104694</v>
      </c>
      <c r="U351" s="311">
        <f t="shared" ca="1" si="147"/>
        <v>0</v>
      </c>
      <c r="V351" s="306">
        <f t="shared" ca="1" si="148"/>
        <v>1.1765075493572488</v>
      </c>
      <c r="W351" s="304">
        <f t="shared" ca="1" si="149"/>
        <v>213.32445680528167</v>
      </c>
      <c r="Y351" s="314" t="str">
        <f t="shared" ca="1" si="167"/>
        <v/>
      </c>
      <c r="Z351" s="315" t="str">
        <f t="shared" ca="1" si="168"/>
        <v/>
      </c>
      <c r="AA351" s="316" t="str">
        <f t="shared" ca="1" si="169"/>
        <v/>
      </c>
      <c r="AC351" s="310" t="e">
        <f t="shared" ca="1" si="170"/>
        <v>#N/A</v>
      </c>
      <c r="AD351" s="323" t="e">
        <f t="shared" ca="1" si="171"/>
        <v>#N/A</v>
      </c>
      <c r="AE351" s="324">
        <f t="shared" ca="1" si="150"/>
        <v>403.85007872017633</v>
      </c>
      <c r="AG351" s="306">
        <f t="shared" ca="1" si="172"/>
        <v>32.931902704348815</v>
      </c>
      <c r="AH351" s="304">
        <f t="shared" ca="1" si="173"/>
        <v>42.672010516142535</v>
      </c>
    </row>
    <row r="352" spans="1:34" x14ac:dyDescent="0.25">
      <c r="A352" s="347">
        <f t="shared" ca="1" si="151"/>
        <v>0.01</v>
      </c>
      <c r="B352" s="304">
        <f t="shared" ca="1" si="152"/>
        <v>3.4799999999999698</v>
      </c>
      <c r="D352" s="306">
        <f t="shared" ca="1" si="153"/>
        <v>5.0675908159874332</v>
      </c>
      <c r="E352" s="307">
        <f t="shared" ca="1" si="154"/>
        <v>32.395691189021363</v>
      </c>
      <c r="F352" s="304">
        <f t="shared" ca="1" si="155"/>
        <v>32.789652091669353</v>
      </c>
      <c r="G352" s="306">
        <f t="shared" ca="1" si="156"/>
        <v>24.950787012534576</v>
      </c>
      <c r="H352" s="307">
        <f t="shared" ca="1" si="157"/>
        <v>207.70581507771843</v>
      </c>
      <c r="I352" s="304">
        <f t="shared" ca="1" si="158"/>
        <v>209.19906163662452</v>
      </c>
      <c r="J352" s="306">
        <f t="shared" ca="1" si="159"/>
        <v>45.295066178373908</v>
      </c>
      <c r="K352" s="307">
        <f t="shared" ca="1" si="160"/>
        <v>405.92551708639405</v>
      </c>
      <c r="L352" s="304">
        <f t="shared" ca="1" si="145"/>
        <v>408.44481688712818</v>
      </c>
      <c r="M352" s="306">
        <f t="shared" ca="1" si="161"/>
        <v>1.4512435791615677</v>
      </c>
      <c r="N352" s="304">
        <f t="shared" ca="1" si="162"/>
        <v>83.150132131417607</v>
      </c>
      <c r="P352" s="310">
        <f t="shared" ca="1" si="163"/>
        <v>11</v>
      </c>
      <c r="Q352" s="304">
        <f t="shared" ca="1" si="164"/>
        <v>677.85000000000389</v>
      </c>
      <c r="R352" s="306">
        <f t="shared" ca="1" si="165"/>
        <v>0.33955693303755441</v>
      </c>
      <c r="S352" s="307">
        <f t="shared" ca="1" si="166"/>
        <v>10.927741724354327</v>
      </c>
      <c r="T352" s="304">
        <f t="shared" ca="1" si="146"/>
        <v>107.20114631591595</v>
      </c>
      <c r="U352" s="311">
        <f t="shared" ca="1" si="147"/>
        <v>0</v>
      </c>
      <c r="V352" s="306">
        <f t="shared" ca="1" si="148"/>
        <v>1.1762632977108081</v>
      </c>
      <c r="W352" s="304">
        <f t="shared" ca="1" si="149"/>
        <v>213.94990397128069</v>
      </c>
      <c r="Y352" s="314" t="str">
        <f t="shared" ca="1" si="167"/>
        <v/>
      </c>
      <c r="Z352" s="315" t="str">
        <f t="shared" ca="1" si="168"/>
        <v/>
      </c>
      <c r="AA352" s="316" t="str">
        <f t="shared" ca="1" si="169"/>
        <v/>
      </c>
      <c r="AC352" s="310" t="e">
        <f t="shared" ca="1" si="170"/>
        <v>#N/A</v>
      </c>
      <c r="AD352" s="323" t="e">
        <f t="shared" ca="1" si="171"/>
        <v>#N/A</v>
      </c>
      <c r="AE352" s="324">
        <f t="shared" ca="1" si="150"/>
        <v>405.92551708639405</v>
      </c>
      <c r="AG352" s="306">
        <f t="shared" ca="1" si="172"/>
        <v>32.768790179433907</v>
      </c>
      <c r="AH352" s="304">
        <f t="shared" ca="1" si="173"/>
        <v>42.508832557732234</v>
      </c>
    </row>
    <row r="353" spans="1:34" x14ac:dyDescent="0.25">
      <c r="A353" s="347">
        <f t="shared" ca="1" si="151"/>
        <v>0.01</v>
      </c>
      <c r="B353" s="304">
        <f t="shared" ca="1" si="152"/>
        <v>3.4899999999999696</v>
      </c>
      <c r="D353" s="306">
        <f t="shared" ca="1" si="153"/>
        <v>5.050501721699149</v>
      </c>
      <c r="E353" s="307">
        <f t="shared" ca="1" si="154"/>
        <v>32.233506528669615</v>
      </c>
      <c r="F353" s="304">
        <f t="shared" ca="1" si="155"/>
        <v>32.626775978859335</v>
      </c>
      <c r="G353" s="306">
        <f t="shared" ca="1" si="156"/>
        <v>25.001292029751568</v>
      </c>
      <c r="H353" s="307">
        <f t="shared" ca="1" si="157"/>
        <v>208.02815014300512</v>
      </c>
      <c r="I353" s="304">
        <f t="shared" ca="1" si="158"/>
        <v>209.5251198665153</v>
      </c>
      <c r="J353" s="306">
        <f t="shared" ca="1" si="159"/>
        <v>45.54482657358534</v>
      </c>
      <c r="K353" s="307">
        <f t="shared" ca="1" si="160"/>
        <v>408.00418691249769</v>
      </c>
      <c r="L353" s="304">
        <f t="shared" ca="1" si="145"/>
        <v>410.53836333008672</v>
      </c>
      <c r="M353" s="306">
        <f t="shared" ca="1" si="161"/>
        <v>1.4511877376164457</v>
      </c>
      <c r="N353" s="304">
        <f t="shared" ca="1" si="162"/>
        <v>83.146932646560629</v>
      </c>
      <c r="P353" s="310">
        <f t="shared" ca="1" si="163"/>
        <v>11</v>
      </c>
      <c r="Q353" s="304">
        <f t="shared" ca="1" si="164"/>
        <v>676.55000000000393</v>
      </c>
      <c r="R353" s="306">
        <f t="shared" ca="1" si="165"/>
        <v>0.33890572109841033</v>
      </c>
      <c r="S353" s="307">
        <f t="shared" ca="1" si="166"/>
        <v>10.924352667143342</v>
      </c>
      <c r="T353" s="304">
        <f t="shared" ca="1" si="146"/>
        <v>107.1678996646762</v>
      </c>
      <c r="U353" s="311">
        <f t="shared" ca="1" si="147"/>
        <v>0</v>
      </c>
      <c r="V353" s="306">
        <f t="shared" ca="1" si="148"/>
        <v>1.1760187155598165</v>
      </c>
      <c r="W353" s="304">
        <f t="shared" ca="1" si="149"/>
        <v>214.57272381903462</v>
      </c>
      <c r="Y353" s="314" t="str">
        <f t="shared" ca="1" si="167"/>
        <v/>
      </c>
      <c r="Z353" s="315" t="str">
        <f t="shared" ca="1" si="168"/>
        <v/>
      </c>
      <c r="AA353" s="316" t="str">
        <f t="shared" ca="1" si="169"/>
        <v/>
      </c>
      <c r="AC353" s="310" t="e">
        <f t="shared" ca="1" si="170"/>
        <v>#N/A</v>
      </c>
      <c r="AD353" s="323" t="e">
        <f t="shared" ca="1" si="171"/>
        <v>#N/A</v>
      </c>
      <c r="AE353" s="324">
        <f t="shared" ca="1" si="150"/>
        <v>408.00418691249769</v>
      </c>
      <c r="AG353" s="306">
        <f t="shared" ca="1" si="172"/>
        <v>32.605790321196466</v>
      </c>
      <c r="AH353" s="304">
        <f t="shared" ca="1" si="173"/>
        <v>42.345767307573617</v>
      </c>
    </row>
    <row r="354" spans="1:34" x14ac:dyDescent="0.25">
      <c r="A354" s="347">
        <f t="shared" ca="1" si="151"/>
        <v>0.01</v>
      </c>
      <c r="B354" s="304">
        <f t="shared" ca="1" si="152"/>
        <v>3.4999999999999694</v>
      </c>
      <c r="D354" s="306">
        <f t="shared" ca="1" si="153"/>
        <v>5.0334055837765614</v>
      </c>
      <c r="E354" s="307">
        <f t="shared" ca="1" si="154"/>
        <v>32.071437617962829</v>
      </c>
      <c r="F354" s="304">
        <f t="shared" ca="1" si="155"/>
        <v>32.464015196116364</v>
      </c>
      <c r="G354" s="306">
        <f t="shared" ca="1" si="156"/>
        <v>25.051626085589334</v>
      </c>
      <c r="H354" s="307">
        <f t="shared" ca="1" si="157"/>
        <v>208.34886451918476</v>
      </c>
      <c r="I354" s="304">
        <f t="shared" ca="1" si="158"/>
        <v>209.84954923936763</v>
      </c>
      <c r="J354" s="306">
        <f t="shared" ca="1" si="159"/>
        <v>45.795091164162045</v>
      </c>
      <c r="K354" s="307">
        <f t="shared" ca="1" si="160"/>
        <v>410.08607198580864</v>
      </c>
      <c r="L354" s="304">
        <f t="shared" ca="1" si="145"/>
        <v>412.63516187000323</v>
      </c>
      <c r="M354" s="306">
        <f t="shared" ca="1" si="161"/>
        <v>1.4511319564846155</v>
      </c>
      <c r="N354" s="304">
        <f t="shared" ca="1" si="162"/>
        <v>83.143736623130295</v>
      </c>
      <c r="P354" s="310">
        <f t="shared" ca="1" si="163"/>
        <v>11</v>
      </c>
      <c r="Q354" s="304">
        <f t="shared" ca="1" si="164"/>
        <v>675.25000000000398</v>
      </c>
      <c r="R354" s="306">
        <f t="shared" ca="1" si="165"/>
        <v>0.33825450915926625</v>
      </c>
      <c r="S354" s="307">
        <f t="shared" ca="1" si="166"/>
        <v>10.920970122051749</v>
      </c>
      <c r="T354" s="304">
        <f t="shared" ca="1" si="146"/>
        <v>107.13471689732766</v>
      </c>
      <c r="U354" s="311">
        <f t="shared" ca="1" si="147"/>
        <v>0</v>
      </c>
      <c r="V354" s="306">
        <f t="shared" ca="1" si="148"/>
        <v>1.1757738050284725</v>
      </c>
      <c r="W354" s="304">
        <f t="shared" ca="1" si="149"/>
        <v>215.19290436162825</v>
      </c>
      <c r="Y354" s="314" t="str">
        <f t="shared" ca="1" si="167"/>
        <v/>
      </c>
      <c r="Z354" s="315" t="str">
        <f t="shared" ca="1" si="168"/>
        <v/>
      </c>
      <c r="AA354" s="316" t="str">
        <f t="shared" ca="1" si="169"/>
        <v>Satellite</v>
      </c>
      <c r="AC354" s="310" t="e">
        <f t="shared" ca="1" si="170"/>
        <v>#N/A</v>
      </c>
      <c r="AD354" s="323" t="e">
        <f t="shared" ca="1" si="171"/>
        <v>#N/A</v>
      </c>
      <c r="AE354" s="324">
        <f t="shared" ca="1" si="150"/>
        <v>410.08607198580864</v>
      </c>
      <c r="AG354" s="306">
        <f t="shared" ca="1" si="172"/>
        <v>32.442904637527022</v>
      </c>
      <c r="AH354" s="304">
        <f t="shared" ca="1" si="173"/>
        <v>42.182816272957702</v>
      </c>
    </row>
    <row r="355" spans="1:34" x14ac:dyDescent="0.25">
      <c r="A355" s="347">
        <f t="shared" ca="1" si="151"/>
        <v>0.01</v>
      </c>
      <c r="B355" s="304">
        <f t="shared" ca="1" si="152"/>
        <v>3.5099999999999691</v>
      </c>
      <c r="D355" s="306">
        <f t="shared" ca="1" si="153"/>
        <v>5.0163026543923577</v>
      </c>
      <c r="E355" s="307">
        <f t="shared" ca="1" si="154"/>
        <v>31.909485935023788</v>
      </c>
      <c r="F355" s="304">
        <f t="shared" ca="1" si="155"/>
        <v>32.301371255071274</v>
      </c>
      <c r="G355" s="306">
        <f t="shared" ca="1" si="156"/>
        <v>25.101789112133257</v>
      </c>
      <c r="H355" s="307">
        <f t="shared" ca="1" si="157"/>
        <v>208.66795937853499</v>
      </c>
      <c r="I355" s="304">
        <f t="shared" ca="1" si="158"/>
        <v>210.17235091189312</v>
      </c>
      <c r="J355" s="306">
        <f t="shared" ca="1" si="159"/>
        <v>46.045858240150658</v>
      </c>
      <c r="K355" s="307">
        <f t="shared" ca="1" si="160"/>
        <v>412.17115610529726</v>
      </c>
      <c r="L355" s="304">
        <f t="shared" ca="1" si="145"/>
        <v>414.73519622314353</v>
      </c>
      <c r="M355" s="306">
        <f t="shared" ca="1" si="161"/>
        <v>1.4510762351762012</v>
      </c>
      <c r="N355" s="304">
        <f t="shared" ca="1" si="162"/>
        <v>83.140544027329213</v>
      </c>
      <c r="P355" s="310">
        <f t="shared" ca="1" si="163"/>
        <v>11</v>
      </c>
      <c r="Q355" s="304">
        <f t="shared" ca="1" si="164"/>
        <v>673.95000000000402</v>
      </c>
      <c r="R355" s="306">
        <f t="shared" ca="1" si="165"/>
        <v>0.33760329722012222</v>
      </c>
      <c r="S355" s="307">
        <f t="shared" ca="1" si="166"/>
        <v>10.917594089079548</v>
      </c>
      <c r="T355" s="304">
        <f t="shared" ca="1" si="146"/>
        <v>107.10159801387037</v>
      </c>
      <c r="U355" s="311">
        <f t="shared" ca="1" si="147"/>
        <v>0</v>
      </c>
      <c r="V355" s="306">
        <f t="shared" ca="1" si="148"/>
        <v>1.1755285682382719</v>
      </c>
      <c r="W355" s="304">
        <f t="shared" ca="1" si="149"/>
        <v>215.81043375436275</v>
      </c>
      <c r="Y355" s="314" t="str">
        <f t="shared" ca="1" si="167"/>
        <v/>
      </c>
      <c r="Z355" s="315" t="str">
        <f t="shared" ca="1" si="168"/>
        <v/>
      </c>
      <c r="AA355" s="316" t="str">
        <f t="shared" ca="1" si="169"/>
        <v/>
      </c>
      <c r="AC355" s="310" t="e">
        <f t="shared" ca="1" si="170"/>
        <v>#N/A</v>
      </c>
      <c r="AD355" s="323" t="e">
        <f t="shared" ca="1" si="171"/>
        <v>#N/A</v>
      </c>
      <c r="AE355" s="324">
        <f t="shared" ca="1" si="150"/>
        <v>412.17115610529726</v>
      </c>
      <c r="AG355" s="306">
        <f t="shared" ca="1" si="172"/>
        <v>32.28013462471759</v>
      </c>
      <c r="AH355" s="304">
        <f t="shared" ca="1" si="173"/>
        <v>42.019980949580543</v>
      </c>
    </row>
    <row r="356" spans="1:34" x14ac:dyDescent="0.25">
      <c r="A356" s="347">
        <f t="shared" ca="1" si="151"/>
        <v>0.01</v>
      </c>
      <c r="B356" s="304">
        <f t="shared" ca="1" si="152"/>
        <v>3.5199999999999689</v>
      </c>
      <c r="D356" s="306">
        <f t="shared" ca="1" si="153"/>
        <v>4.9991931840646702</v>
      </c>
      <c r="E356" s="307">
        <f t="shared" ca="1" si="154"/>
        <v>31.747652946483633</v>
      </c>
      <c r="F356" s="304">
        <f t="shared" ca="1" si="155"/>
        <v>32.138845656027684</v>
      </c>
      <c r="G356" s="306">
        <f t="shared" ca="1" si="156"/>
        <v>25.151781043973905</v>
      </c>
      <c r="H356" s="307">
        <f t="shared" ca="1" si="157"/>
        <v>208.98543590799983</v>
      </c>
      <c r="I356" s="304">
        <f t="shared" ca="1" si="158"/>
        <v>210.49352605565025</v>
      </c>
      <c r="J356" s="306">
        <f t="shared" ca="1" si="159"/>
        <v>46.297126090931194</v>
      </c>
      <c r="K356" s="307">
        <f t="shared" ca="1" si="160"/>
        <v>414.25942308172995</v>
      </c>
      <c r="L356" s="304">
        <f t="shared" ca="1" si="145"/>
        <v>416.83845011741334</v>
      </c>
      <c r="M356" s="306">
        <f t="shared" ca="1" si="161"/>
        <v>1.4510205731054644</v>
      </c>
      <c r="N356" s="304">
        <f t="shared" ca="1" si="162"/>
        <v>83.137354825597043</v>
      </c>
      <c r="P356" s="310">
        <f t="shared" ca="1" si="163"/>
        <v>11</v>
      </c>
      <c r="Q356" s="304">
        <f t="shared" ca="1" si="164"/>
        <v>672.65000000000407</v>
      </c>
      <c r="R356" s="306">
        <f t="shared" ca="1" si="165"/>
        <v>0.33695208528097814</v>
      </c>
      <c r="S356" s="307">
        <f t="shared" ca="1" si="166"/>
        <v>10.914224568226739</v>
      </c>
      <c r="T356" s="304">
        <f t="shared" ca="1" si="146"/>
        <v>107.06854301430432</v>
      </c>
      <c r="U356" s="311">
        <f t="shared" ca="1" si="147"/>
        <v>0</v>
      </c>
      <c r="V356" s="306">
        <f t="shared" ca="1" si="148"/>
        <v>1.1752830073079856</v>
      </c>
      <c r="W356" s="304">
        <f t="shared" ca="1" si="149"/>
        <v>216.42530029442494</v>
      </c>
      <c r="Y356" s="314" t="str">
        <f t="shared" ca="1" si="167"/>
        <v/>
      </c>
      <c r="Z356" s="315" t="str">
        <f t="shared" ca="1" si="168"/>
        <v/>
      </c>
      <c r="AA356" s="316" t="str">
        <f t="shared" ca="1" si="169"/>
        <v/>
      </c>
      <c r="AC356" s="310" t="e">
        <f t="shared" ca="1" si="170"/>
        <v>#N/A</v>
      </c>
      <c r="AD356" s="323" t="e">
        <f t="shared" ca="1" si="171"/>
        <v>#N/A</v>
      </c>
      <c r="AE356" s="324">
        <f t="shared" ca="1" si="150"/>
        <v>414.25942308172995</v>
      </c>
      <c r="AG356" s="306">
        <f t="shared" ca="1" si="172"/>
        <v>32.117481767464511</v>
      </c>
      <c r="AH356" s="304">
        <f t="shared" ca="1" si="173"/>
        <v>41.857262821546023</v>
      </c>
    </row>
    <row r="357" spans="1:34" x14ac:dyDescent="0.25">
      <c r="A357" s="347">
        <f t="shared" ca="1" si="151"/>
        <v>0.01</v>
      </c>
      <c r="B357" s="304">
        <f t="shared" ca="1" si="152"/>
        <v>3.5299999999999687</v>
      </c>
      <c r="D357" s="306">
        <f t="shared" ca="1" si="153"/>
        <v>4.9820774216595565</v>
      </c>
      <c r="E357" s="307">
        <f t="shared" ca="1" si="154"/>
        <v>31.585940107485229</v>
      </c>
      <c r="F357" s="304">
        <f t="shared" ca="1" si="155"/>
        <v>31.976439887971488</v>
      </c>
      <c r="G357" s="306">
        <f t="shared" ca="1" si="156"/>
        <v>25.2016018181905</v>
      </c>
      <c r="H357" s="307">
        <f t="shared" ca="1" si="157"/>
        <v>209.30129530907467</v>
      </c>
      <c r="I357" s="304">
        <f t="shared" ca="1" si="158"/>
        <v>210.81307585692855</v>
      </c>
      <c r="J357" s="306">
        <f t="shared" ca="1" si="159"/>
        <v>46.548893005242014</v>
      </c>
      <c r="K357" s="307">
        <f t="shared" ca="1" si="160"/>
        <v>416.35085673781532</v>
      </c>
      <c r="L357" s="304">
        <f t="shared" ca="1" si="145"/>
        <v>418.94490729250583</v>
      </c>
      <c r="M357" s="306">
        <f t="shared" ca="1" si="161"/>
        <v>1.4509649696907572</v>
      </c>
      <c r="N357" s="304">
        <f t="shared" ca="1" si="162"/>
        <v>83.134168984607797</v>
      </c>
      <c r="P357" s="310">
        <f t="shared" ca="1" si="163"/>
        <v>11</v>
      </c>
      <c r="Q357" s="304">
        <f t="shared" ca="1" si="164"/>
        <v>671.35000000000412</v>
      </c>
      <c r="R357" s="306">
        <f t="shared" ca="1" si="165"/>
        <v>0.33630087334183406</v>
      </c>
      <c r="S357" s="307">
        <f t="shared" ca="1" si="166"/>
        <v>10.910861559493322</v>
      </c>
      <c r="T357" s="304">
        <f t="shared" ca="1" si="146"/>
        <v>107.03555189862949</v>
      </c>
      <c r="U357" s="311">
        <f t="shared" ca="1" si="147"/>
        <v>0</v>
      </c>
      <c r="V357" s="306">
        <f t="shared" ca="1" si="148"/>
        <v>1.1750371243536399</v>
      </c>
      <c r="W357" s="304">
        <f t="shared" ca="1" si="149"/>
        <v>217.03749242055144</v>
      </c>
      <c r="Y357" s="314" t="str">
        <f t="shared" ca="1" si="167"/>
        <v/>
      </c>
      <c r="Z357" s="315" t="str">
        <f t="shared" ca="1" si="168"/>
        <v/>
      </c>
      <c r="AA357" s="316" t="str">
        <f t="shared" ca="1" si="169"/>
        <v/>
      </c>
      <c r="AC357" s="310" t="e">
        <f t="shared" ca="1" si="170"/>
        <v>#N/A</v>
      </c>
      <c r="AD357" s="323" t="e">
        <f t="shared" ca="1" si="171"/>
        <v>#N/A</v>
      </c>
      <c r="AE357" s="324">
        <f t="shared" ca="1" si="150"/>
        <v>416.35085673781532</v>
      </c>
      <c r="AG357" s="306">
        <f t="shared" ca="1" si="172"/>
        <v>31.954947538871963</v>
      </c>
      <c r="AH357" s="304">
        <f t="shared" ca="1" si="173"/>
        <v>41.694663361369329</v>
      </c>
    </row>
    <row r="358" spans="1:34" x14ac:dyDescent="0.25">
      <c r="A358" s="347">
        <f t="shared" ca="1" si="151"/>
        <v>0.01</v>
      </c>
      <c r="B358" s="304">
        <f t="shared" ca="1" si="152"/>
        <v>3.5399999999999685</v>
      </c>
      <c r="D358" s="306">
        <f t="shared" ca="1" si="153"/>
        <v>4.9649556143933644</v>
      </c>
      <c r="E358" s="307">
        <f t="shared" ca="1" si="154"/>
        <v>31.424348861687079</v>
      </c>
      <c r="F358" s="304">
        <f t="shared" ca="1" si="155"/>
        <v>31.814155428581003</v>
      </c>
      <c r="G358" s="306">
        <f t="shared" ca="1" si="156"/>
        <v>25.251251374334434</v>
      </c>
      <c r="H358" s="307">
        <f t="shared" ca="1" si="157"/>
        <v>209.61553879769156</v>
      </c>
      <c r="I358" s="304">
        <f t="shared" ca="1" si="158"/>
        <v>211.13100151663269</v>
      </c>
      <c r="J358" s="306">
        <f t="shared" ca="1" si="159"/>
        <v>46.801157271204637</v>
      </c>
      <c r="K358" s="307">
        <f t="shared" ca="1" si="160"/>
        <v>418.44544090834916</v>
      </c>
      <c r="L358" s="304">
        <f t="shared" ca="1" si="145"/>
        <v>421.05455150004821</v>
      </c>
      <c r="M358" s="306">
        <f t="shared" ca="1" si="161"/>
        <v>1.450909424354474</v>
      </c>
      <c r="N358" s="304">
        <f t="shared" ca="1" si="162"/>
        <v>83.130986471267136</v>
      </c>
      <c r="P358" s="310">
        <f t="shared" ca="1" si="163"/>
        <v>11</v>
      </c>
      <c r="Q358" s="304">
        <f t="shared" ca="1" si="164"/>
        <v>670.05000000000405</v>
      </c>
      <c r="R358" s="306">
        <f t="shared" ca="1" si="165"/>
        <v>0.33564966140268998</v>
      </c>
      <c r="S358" s="307">
        <f t="shared" ca="1" si="166"/>
        <v>10.907505062879295</v>
      </c>
      <c r="T358" s="304">
        <f t="shared" ca="1" si="146"/>
        <v>107.00262466684589</v>
      </c>
      <c r="U358" s="311">
        <f t="shared" ca="1" si="147"/>
        <v>0</v>
      </c>
      <c r="V358" s="306">
        <f t="shared" ca="1" si="148"/>
        <v>1.1747909214884948</v>
      </c>
      <c r="W358" s="304">
        <f t="shared" ca="1" si="149"/>
        <v>217.64699871268573</v>
      </c>
      <c r="Y358" s="314" t="str">
        <f t="shared" ca="1" si="167"/>
        <v/>
      </c>
      <c r="Z358" s="315" t="str">
        <f t="shared" ca="1" si="168"/>
        <v/>
      </c>
      <c r="AA358" s="316" t="str">
        <f t="shared" ca="1" si="169"/>
        <v/>
      </c>
      <c r="AC358" s="310" t="e">
        <f t="shared" ca="1" si="170"/>
        <v>#N/A</v>
      </c>
      <c r="AD358" s="323" t="e">
        <f t="shared" ca="1" si="171"/>
        <v>#N/A</v>
      </c>
      <c r="AE358" s="324">
        <f t="shared" ca="1" si="150"/>
        <v>418.44544090834916</v>
      </c>
      <c r="AG358" s="306">
        <f t="shared" ca="1" si="172"/>
        <v>31.792533400456087</v>
      </c>
      <c r="AH358" s="304">
        <f t="shared" ca="1" si="173"/>
        <v>41.532184029981025</v>
      </c>
    </row>
    <row r="359" spans="1:34" x14ac:dyDescent="0.25">
      <c r="A359" s="347">
        <f t="shared" ca="1" si="151"/>
        <v>0.01</v>
      </c>
      <c r="B359" s="304">
        <f t="shared" ca="1" si="152"/>
        <v>3.5499999999999683</v>
      </c>
      <c r="D359" s="306">
        <f t="shared" ca="1" si="153"/>
        <v>4.9478280078352634</v>
      </c>
      <c r="E359" s="307">
        <f t="shared" ca="1" si="154"/>
        <v>31.262880641268225</v>
      </c>
      <c r="F359" s="304">
        <f t="shared" ca="1" si="155"/>
        <v>31.651993744238336</v>
      </c>
      <c r="G359" s="306">
        <f t="shared" ca="1" si="156"/>
        <v>25.300729654412788</v>
      </c>
      <c r="H359" s="307">
        <f t="shared" ca="1" si="157"/>
        <v>209.92816760410423</v>
      </c>
      <c r="I359" s="304">
        <f t="shared" ca="1" si="158"/>
        <v>211.44730425016667</v>
      </c>
      <c r="J359" s="306">
        <f t="shared" ca="1" si="159"/>
        <v>47.053917176348371</v>
      </c>
      <c r="K359" s="307">
        <f t="shared" ca="1" si="160"/>
        <v>420.54315944035812</v>
      </c>
      <c r="L359" s="304">
        <f t="shared" ca="1" si="145"/>
        <v>423.1673665037477</v>
      </c>
      <c r="M359" s="306">
        <f t="shared" ca="1" si="161"/>
        <v>1.4508539365230058</v>
      </c>
      <c r="N359" s="304">
        <f t="shared" ca="1" si="162"/>
        <v>83.127807252709673</v>
      </c>
      <c r="P359" s="310">
        <f t="shared" ca="1" si="163"/>
        <v>11</v>
      </c>
      <c r="Q359" s="304">
        <f t="shared" ca="1" si="164"/>
        <v>668.75000000000409</v>
      </c>
      <c r="R359" s="306">
        <f t="shared" ca="1" si="165"/>
        <v>0.3349984494635459</v>
      </c>
      <c r="S359" s="307">
        <f t="shared" ca="1" si="166"/>
        <v>10.90415507838466</v>
      </c>
      <c r="T359" s="304">
        <f t="shared" ca="1" si="146"/>
        <v>106.96976131895352</v>
      </c>
      <c r="U359" s="311">
        <f t="shared" ca="1" si="147"/>
        <v>0</v>
      </c>
      <c r="V359" s="306">
        <f t="shared" ca="1" si="148"/>
        <v>1.174544400823023</v>
      </c>
      <c r="W359" s="304">
        <f t="shared" ca="1" si="149"/>
        <v>218.25380789162958</v>
      </c>
      <c r="Y359" s="314" t="str">
        <f t="shared" ca="1" si="167"/>
        <v/>
      </c>
      <c r="Z359" s="315" t="str">
        <f t="shared" ca="1" si="168"/>
        <v/>
      </c>
      <c r="AA359" s="316" t="str">
        <f t="shared" ca="1" si="169"/>
        <v/>
      </c>
      <c r="AC359" s="310" t="e">
        <f t="shared" ca="1" si="170"/>
        <v>#N/A</v>
      </c>
      <c r="AD359" s="323" t="e">
        <f t="shared" ca="1" si="171"/>
        <v>#N/A</v>
      </c>
      <c r="AE359" s="324">
        <f t="shared" ca="1" si="150"/>
        <v>420.54315944035812</v>
      </c>
      <c r="AG359" s="306">
        <f t="shared" ca="1" si="172"/>
        <v>31.630240802149959</v>
      </c>
      <c r="AH359" s="304">
        <f t="shared" ca="1" si="173"/>
        <v>41.369826276731999</v>
      </c>
    </row>
    <row r="360" spans="1:34" x14ac:dyDescent="0.25">
      <c r="A360" s="347">
        <f t="shared" ca="1" si="151"/>
        <v>0.01</v>
      </c>
      <c r="B360" s="304">
        <f t="shared" ca="1" si="152"/>
        <v>3.5599999999999681</v>
      </c>
      <c r="D360" s="306">
        <f t="shared" ca="1" si="153"/>
        <v>4.930694845909704</v>
      </c>
      <c r="E360" s="307">
        <f t="shared" ca="1" si="154"/>
        <v>31.101536866933472</v>
      </c>
      <c r="F360" s="304">
        <f t="shared" ca="1" si="155"/>
        <v>31.489956290041153</v>
      </c>
      <c r="G360" s="306">
        <f t="shared" ca="1" si="156"/>
        <v>25.350036602871885</v>
      </c>
      <c r="H360" s="307">
        <f t="shared" ca="1" si="157"/>
        <v>210.23918297277356</v>
      </c>
      <c r="I360" s="304">
        <f t="shared" ca="1" si="158"/>
        <v>211.76198528731803</v>
      </c>
      <c r="J360" s="306">
        <f t="shared" ca="1" si="159"/>
        <v>47.307171007634793</v>
      </c>
      <c r="K360" s="307">
        <f t="shared" ca="1" si="160"/>
        <v>422.64399619324251</v>
      </c>
      <c r="L360" s="304">
        <f t="shared" ca="1" si="145"/>
        <v>425.28333607953556</v>
      </c>
      <c r="M360" s="306">
        <f t="shared" ca="1" si="161"/>
        <v>1.4507985056266934</v>
      </c>
      <c r="N360" s="304">
        <f t="shared" ca="1" si="162"/>
        <v>83.124631296296357</v>
      </c>
      <c r="P360" s="310">
        <f t="shared" ca="1" si="163"/>
        <v>11</v>
      </c>
      <c r="Q360" s="304">
        <f t="shared" ca="1" si="164"/>
        <v>667.45000000000414</v>
      </c>
      <c r="R360" s="306">
        <f t="shared" ca="1" si="165"/>
        <v>0.33434723752440182</v>
      </c>
      <c r="S360" s="307">
        <f t="shared" ca="1" si="166"/>
        <v>10.900811606009416</v>
      </c>
      <c r="T360" s="304">
        <f t="shared" ca="1" si="146"/>
        <v>106.93696185495237</v>
      </c>
      <c r="U360" s="311">
        <f t="shared" ca="1" si="147"/>
        <v>0</v>
      </c>
      <c r="V360" s="306">
        <f t="shared" ca="1" si="148"/>
        <v>1.1742975644648925</v>
      </c>
      <c r="W360" s="304">
        <f t="shared" ca="1" si="149"/>
        <v>218.85790881868905</v>
      </c>
      <c r="Y360" s="314" t="str">
        <f t="shared" ca="1" si="167"/>
        <v/>
      </c>
      <c r="Z360" s="315" t="str">
        <f t="shared" ca="1" si="168"/>
        <v/>
      </c>
      <c r="AA360" s="316" t="str">
        <f t="shared" ca="1" si="169"/>
        <v/>
      </c>
      <c r="AC360" s="310" t="e">
        <f t="shared" ca="1" si="170"/>
        <v>#N/A</v>
      </c>
      <c r="AD360" s="323" t="e">
        <f t="shared" ca="1" si="171"/>
        <v>#N/A</v>
      </c>
      <c r="AE360" s="324">
        <f t="shared" ca="1" si="150"/>
        <v>422.64399619324251</v>
      </c>
      <c r="AG360" s="306">
        <f t="shared" ca="1" si="172"/>
        <v>31.468071182309053</v>
      </c>
      <c r="AH360" s="304">
        <f t="shared" ca="1" si="173"/>
        <v>41.207591539398869</v>
      </c>
    </row>
    <row r="361" spans="1:34" x14ac:dyDescent="0.25">
      <c r="A361" s="347">
        <f t="shared" ca="1" si="151"/>
        <v>0.01</v>
      </c>
      <c r="B361" s="304">
        <f t="shared" ca="1" si="152"/>
        <v>3.5699999999999679</v>
      </c>
      <c r="D361" s="306">
        <f t="shared" ca="1" si="153"/>
        <v>4.9135563708989469</v>
      </c>
      <c r="E361" s="307">
        <f t="shared" ca="1" si="154"/>
        <v>30.940318947919415</v>
      </c>
      <c r="F361" s="304">
        <f t="shared" ca="1" si="155"/>
        <v>31.328044509815527</v>
      </c>
      <c r="G361" s="306">
        <f t="shared" ca="1" si="156"/>
        <v>25.399172166580875</v>
      </c>
      <c r="H361" s="307">
        <f t="shared" ca="1" si="157"/>
        <v>210.54858616225275</v>
      </c>
      <c r="I361" s="304">
        <f t="shared" ca="1" si="158"/>
        <v>212.07504587214214</v>
      </c>
      <c r="J361" s="306">
        <f t="shared" ca="1" si="159"/>
        <v>47.560917051482058</v>
      </c>
      <c r="K361" s="307">
        <f t="shared" ca="1" si="160"/>
        <v>424.74793503891766</v>
      </c>
      <c r="L361" s="304">
        <f t="shared" ca="1" si="145"/>
        <v>427.4024440157105</v>
      </c>
      <c r="M361" s="306">
        <f t="shared" ca="1" si="161"/>
        <v>1.4507431310997827</v>
      </c>
      <c r="N361" s="304">
        <f t="shared" ca="1" si="162"/>
        <v>83.121458569611832</v>
      </c>
      <c r="P361" s="310">
        <f t="shared" ca="1" si="163"/>
        <v>11</v>
      </c>
      <c r="Q361" s="304">
        <f t="shared" ca="1" si="164"/>
        <v>666.15000000000418</v>
      </c>
      <c r="R361" s="306">
        <f t="shared" ca="1" si="165"/>
        <v>0.33369602558525779</v>
      </c>
      <c r="S361" s="307">
        <f t="shared" ca="1" si="166"/>
        <v>10.897474645753563</v>
      </c>
      <c r="T361" s="304">
        <f t="shared" ca="1" si="146"/>
        <v>106.90422627484246</v>
      </c>
      <c r="U361" s="311">
        <f t="shared" ca="1" si="147"/>
        <v>0</v>
      </c>
      <c r="V361" s="306">
        <f t="shared" ca="1" si="148"/>
        <v>1.174050414518941</v>
      </c>
      <c r="W361" s="304">
        <f t="shared" ca="1" si="149"/>
        <v>219.45929049531276</v>
      </c>
      <c r="Y361" s="314" t="str">
        <f t="shared" ca="1" si="167"/>
        <v/>
      </c>
      <c r="Z361" s="315" t="str">
        <f t="shared" ca="1" si="168"/>
        <v/>
      </c>
      <c r="AA361" s="316" t="str">
        <f t="shared" ca="1" si="169"/>
        <v/>
      </c>
      <c r="AC361" s="310" t="e">
        <f t="shared" ca="1" si="170"/>
        <v>#N/A</v>
      </c>
      <c r="AD361" s="323" t="e">
        <f t="shared" ca="1" si="171"/>
        <v>#N/A</v>
      </c>
      <c r="AE361" s="324">
        <f t="shared" ca="1" si="150"/>
        <v>424.74793503891766</v>
      </c>
      <c r="AG361" s="306">
        <f t="shared" ca="1" si="172"/>
        <v>31.306025967717382</v>
      </c>
      <c r="AH361" s="304">
        <f t="shared" ca="1" si="173"/>
        <v>41.045481244190107</v>
      </c>
    </row>
    <row r="362" spans="1:34" x14ac:dyDescent="0.25">
      <c r="A362" s="347">
        <f t="shared" ca="1" si="151"/>
        <v>0.01</v>
      </c>
      <c r="B362" s="304">
        <f t="shared" ca="1" si="152"/>
        <v>3.5799999999999677</v>
      </c>
      <c r="D362" s="306">
        <f t="shared" ca="1" si="153"/>
        <v>4.8964128234456483</v>
      </c>
      <c r="E362" s="307">
        <f t="shared" ca="1" si="154"/>
        <v>30.779228282001291</v>
      </c>
      <c r="F362" s="304">
        <f t="shared" ca="1" si="155"/>
        <v>31.166259836129701</v>
      </c>
      <c r="G362" s="306">
        <f t="shared" ca="1" si="156"/>
        <v>25.448136294815331</v>
      </c>
      <c r="H362" s="307">
        <f t="shared" ca="1" si="157"/>
        <v>210.85637844507275</v>
      </c>
      <c r="I362" s="304">
        <f t="shared" ca="1" si="158"/>
        <v>212.38648726284646</v>
      </c>
      <c r="J362" s="306">
        <f t="shared" ca="1" si="159"/>
        <v>47.815153593789042</v>
      </c>
      <c r="K362" s="307">
        <f t="shared" ca="1" si="160"/>
        <v>426.85495986195428</v>
      </c>
      <c r="L362" s="304">
        <f t="shared" ca="1" si="145"/>
        <v>429.52467411308078</v>
      </c>
      <c r="M362" s="306">
        <f t="shared" ca="1" si="161"/>
        <v>1.4506878123803792</v>
      </c>
      <c r="N362" s="304">
        <f t="shared" ca="1" si="162"/>
        <v>83.118289040461946</v>
      </c>
      <c r="P362" s="310">
        <f t="shared" ca="1" si="163"/>
        <v>11</v>
      </c>
      <c r="Q362" s="304">
        <f t="shared" ca="1" si="164"/>
        <v>664.85000000000423</v>
      </c>
      <c r="R362" s="306">
        <f t="shared" ca="1" si="165"/>
        <v>0.33304481364611371</v>
      </c>
      <c r="S362" s="307">
        <f t="shared" ca="1" si="166"/>
        <v>10.894144197617102</v>
      </c>
      <c r="T362" s="304">
        <f t="shared" ca="1" si="146"/>
        <v>106.87155457862377</v>
      </c>
      <c r="U362" s="311">
        <f t="shared" ca="1" si="147"/>
        <v>0</v>
      </c>
      <c r="V362" s="306">
        <f t="shared" ca="1" si="148"/>
        <v>1.1738029530871623</v>
      </c>
      <c r="W362" s="304">
        <f t="shared" ca="1" si="149"/>
        <v>220.05794206272648</v>
      </c>
      <c r="Y362" s="314" t="str">
        <f t="shared" ca="1" si="167"/>
        <v/>
      </c>
      <c r="Z362" s="315" t="str">
        <f t="shared" ca="1" si="168"/>
        <v/>
      </c>
      <c r="AA362" s="316" t="str">
        <f t="shared" ca="1" si="169"/>
        <v/>
      </c>
      <c r="AC362" s="310" t="e">
        <f t="shared" ca="1" si="170"/>
        <v>#N/A</v>
      </c>
      <c r="AD362" s="323" t="e">
        <f t="shared" ca="1" si="171"/>
        <v>#N/A</v>
      </c>
      <c r="AE362" s="324">
        <f t="shared" ca="1" si="150"/>
        <v>426.85495986195428</v>
      </c>
      <c r="AG362" s="306">
        <f t="shared" ca="1" si="172"/>
        <v>31.144106573594549</v>
      </c>
      <c r="AH362" s="304">
        <f t="shared" ca="1" si="173"/>
        <v>40.883496805753012</v>
      </c>
    </row>
    <row r="363" spans="1:34" x14ac:dyDescent="0.25">
      <c r="A363" s="347">
        <f t="shared" ca="1" si="151"/>
        <v>0.01</v>
      </c>
      <c r="B363" s="304">
        <f t="shared" ca="1" si="152"/>
        <v>3.5899999999999674</v>
      </c>
      <c r="D363" s="306">
        <f t="shared" ca="1" si="153"/>
        <v>4.8792644425554164</v>
      </c>
      <c r="E363" s="307">
        <f t="shared" ca="1" si="154"/>
        <v>30.61826625550016</v>
      </c>
      <c r="F363" s="304">
        <f t="shared" ca="1" si="155"/>
        <v>31.004603690308404</v>
      </c>
      <c r="G363" s="306">
        <f t="shared" ca="1" si="156"/>
        <v>25.496928939240885</v>
      </c>
      <c r="H363" s="307">
        <f t="shared" ca="1" si="157"/>
        <v>211.16256110762774</v>
      </c>
      <c r="I363" s="304">
        <f t="shared" ca="1" si="158"/>
        <v>212.69631073167517</v>
      </c>
      <c r="J363" s="306">
        <f t="shared" ca="1" si="159"/>
        <v>48.069878919959322</v>
      </c>
      <c r="K363" s="307">
        <f t="shared" ca="1" si="160"/>
        <v>428.96505455971777</v>
      </c>
      <c r="L363" s="304">
        <f t="shared" ca="1" si="145"/>
        <v>431.65001018510497</v>
      </c>
      <c r="M363" s="306">
        <f t="shared" ca="1" si="161"/>
        <v>1.4506325489104042</v>
      </c>
      <c r="N363" s="304">
        <f t="shared" ca="1" si="162"/>
        <v>83.115122676871124</v>
      </c>
      <c r="P363" s="310">
        <f t="shared" ca="1" si="163"/>
        <v>11</v>
      </c>
      <c r="Q363" s="304">
        <f t="shared" ca="1" si="164"/>
        <v>663.55000000000427</v>
      </c>
      <c r="R363" s="306">
        <f t="shared" ca="1" si="165"/>
        <v>0.33239360170696963</v>
      </c>
      <c r="S363" s="307">
        <f t="shared" ca="1" si="166"/>
        <v>10.890820261600032</v>
      </c>
      <c r="T363" s="304">
        <f t="shared" ca="1" si="146"/>
        <v>106.83894676629632</v>
      </c>
      <c r="U363" s="311">
        <f t="shared" ca="1" si="147"/>
        <v>0</v>
      </c>
      <c r="V363" s="306">
        <f t="shared" ca="1" si="148"/>
        <v>1.1735551822686812</v>
      </c>
      <c r="W363" s="304">
        <f t="shared" ca="1" si="149"/>
        <v>220.65385280156062</v>
      </c>
      <c r="Y363" s="314" t="str">
        <f t="shared" ca="1" si="167"/>
        <v/>
      </c>
      <c r="Z363" s="315" t="str">
        <f t="shared" ca="1" si="168"/>
        <v/>
      </c>
      <c r="AA363" s="316" t="str">
        <f t="shared" ca="1" si="169"/>
        <v/>
      </c>
      <c r="AC363" s="310" t="e">
        <f t="shared" ca="1" si="170"/>
        <v>#N/A</v>
      </c>
      <c r="AD363" s="323" t="e">
        <f t="shared" ca="1" si="171"/>
        <v>#N/A</v>
      </c>
      <c r="AE363" s="324">
        <f t="shared" ca="1" si="150"/>
        <v>428.96505455971777</v>
      </c>
      <c r="AG363" s="306">
        <f t="shared" ca="1" si="172"/>
        <v>30.982314403603034</v>
      </c>
      <c r="AH363" s="304">
        <f t="shared" ca="1" si="173"/>
        <v>40.721639627181013</v>
      </c>
    </row>
    <row r="364" spans="1:34" x14ac:dyDescent="0.25">
      <c r="A364" s="347">
        <f t="shared" ca="1" si="151"/>
        <v>0.01</v>
      </c>
      <c r="B364" s="304">
        <f t="shared" ca="1" si="152"/>
        <v>3.5999999999999672</v>
      </c>
      <c r="D364" s="306">
        <f t="shared" ca="1" si="153"/>
        <v>4.8621114655994688</v>
      </c>
      <c r="E364" s="307">
        <f t="shared" ca="1" si="154"/>
        <v>30.457434243291011</v>
      </c>
      <c r="F364" s="304">
        <f t="shared" ca="1" si="155"/>
        <v>30.843077482448304</v>
      </c>
      <c r="G364" s="306">
        <f t="shared" ca="1" si="156"/>
        <v>25.545550053896878</v>
      </c>
      <c r="H364" s="307">
        <f t="shared" ca="1" si="157"/>
        <v>211.46713545006065</v>
      </c>
      <c r="I364" s="304">
        <f t="shared" ca="1" si="158"/>
        <v>213.00451756479356</v>
      </c>
      <c r="J364" s="306">
        <f t="shared" ca="1" si="159"/>
        <v>48.325091314925011</v>
      </c>
      <c r="K364" s="307">
        <f t="shared" ca="1" si="160"/>
        <v>431.07820304250623</v>
      </c>
      <c r="L364" s="304">
        <f t="shared" ca="1" si="145"/>
        <v>433.7784360580319</v>
      </c>
      <c r="M364" s="306">
        <f t="shared" ca="1" si="161"/>
        <v>1.4505773401355504</v>
      </c>
      <c r="N364" s="304">
        <f t="shared" ca="1" si="162"/>
        <v>83.111959447079911</v>
      </c>
      <c r="P364" s="310">
        <f t="shared" ca="1" si="163"/>
        <v>11</v>
      </c>
      <c r="Q364" s="304">
        <f t="shared" ca="1" si="164"/>
        <v>662.25000000000421</v>
      </c>
      <c r="R364" s="306">
        <f t="shared" ca="1" si="165"/>
        <v>0.33174238976782555</v>
      </c>
      <c r="S364" s="307">
        <f t="shared" ca="1" si="166"/>
        <v>10.887502837702353</v>
      </c>
      <c r="T364" s="304">
        <f t="shared" ca="1" si="146"/>
        <v>106.80640283786009</v>
      </c>
      <c r="U364" s="311">
        <f t="shared" ca="1" si="147"/>
        <v>0</v>
      </c>
      <c r="V364" s="306">
        <f t="shared" ca="1" si="148"/>
        <v>1.1733071041597372</v>
      </c>
      <c r="W364" s="304">
        <f t="shared" ca="1" si="149"/>
        <v>221.2470121314725</v>
      </c>
      <c r="Y364" s="314" t="str">
        <f t="shared" ca="1" si="167"/>
        <v/>
      </c>
      <c r="Z364" s="315" t="str">
        <f t="shared" ca="1" si="168"/>
        <v/>
      </c>
      <c r="AA364" s="316" t="str">
        <f t="shared" ca="1" si="169"/>
        <v/>
      </c>
      <c r="AC364" s="310" t="e">
        <f t="shared" ca="1" si="170"/>
        <v>#N/A</v>
      </c>
      <c r="AD364" s="323" t="e">
        <f t="shared" ca="1" si="171"/>
        <v>#N/A</v>
      </c>
      <c r="AE364" s="324">
        <f t="shared" ca="1" si="150"/>
        <v>431.07820304250623</v>
      </c>
      <c r="AG364" s="306">
        <f t="shared" ca="1" si="172"/>
        <v>30.82065084985652</v>
      </c>
      <c r="AH364" s="304">
        <f t="shared" ca="1" si="173"/>
        <v>40.5599111000219</v>
      </c>
    </row>
    <row r="365" spans="1:34" x14ac:dyDescent="0.25">
      <c r="A365" s="347">
        <f t="shared" ca="1" si="151"/>
        <v>0.01</v>
      </c>
      <c r="B365" s="304">
        <f t="shared" ca="1" si="152"/>
        <v>3.609999999999967</v>
      </c>
      <c r="D365" s="306">
        <f t="shared" ca="1" si="153"/>
        <v>4.8449541283172639</v>
      </c>
      <c r="E365" s="307">
        <f t="shared" ca="1" si="154"/>
        <v>30.29673360881133</v>
      </c>
      <c r="F365" s="304">
        <f t="shared" ca="1" si="155"/>
        <v>30.681682611434081</v>
      </c>
      <c r="G365" s="306">
        <f t="shared" ca="1" si="156"/>
        <v>25.593999595180051</v>
      </c>
      <c r="H365" s="307">
        <f t="shared" ca="1" si="157"/>
        <v>211.77010278614875</v>
      </c>
      <c r="I365" s="304">
        <f t="shared" ca="1" si="158"/>
        <v>213.31110906217256</v>
      </c>
      <c r="J365" s="306">
        <f t="shared" ca="1" si="159"/>
        <v>48.580789063170393</v>
      </c>
      <c r="K365" s="307">
        <f t="shared" ca="1" si="160"/>
        <v>433.19438923368728</v>
      </c>
      <c r="L365" s="304">
        <f t="shared" ca="1" si="145"/>
        <v>435.90993557103928</v>
      </c>
      <c r="M365" s="306">
        <f t="shared" ca="1" si="161"/>
        <v>1.4505221855052401</v>
      </c>
      <c r="N365" s="304">
        <f t="shared" ca="1" si="162"/>
        <v>83.108799319542541</v>
      </c>
      <c r="P365" s="310">
        <f t="shared" ca="1" si="163"/>
        <v>11</v>
      </c>
      <c r="Q365" s="304">
        <f t="shared" ca="1" si="164"/>
        <v>660.95000000000425</v>
      </c>
      <c r="R365" s="306">
        <f t="shared" ca="1" si="165"/>
        <v>0.33109117782868147</v>
      </c>
      <c r="S365" s="307">
        <f t="shared" ca="1" si="166"/>
        <v>10.884191925924066</v>
      </c>
      <c r="T365" s="304">
        <f t="shared" ca="1" si="146"/>
        <v>106.77392279331509</v>
      </c>
      <c r="U365" s="311">
        <f t="shared" ca="1" si="147"/>
        <v>0</v>
      </c>
      <c r="V365" s="306">
        <f t="shared" ca="1" si="148"/>
        <v>1.1730587208536642</v>
      </c>
      <c r="W365" s="304">
        <f t="shared" ca="1" si="149"/>
        <v>221.83740961076259</v>
      </c>
      <c r="Y365" s="314" t="str">
        <f t="shared" ca="1" si="167"/>
        <v/>
      </c>
      <c r="Z365" s="315" t="str">
        <f t="shared" ca="1" si="168"/>
        <v/>
      </c>
      <c r="AA365" s="316" t="str">
        <f t="shared" ca="1" si="169"/>
        <v/>
      </c>
      <c r="AC365" s="310" t="e">
        <f t="shared" ca="1" si="170"/>
        <v>#N/A</v>
      </c>
      <c r="AD365" s="323" t="e">
        <f t="shared" ca="1" si="171"/>
        <v>#N/A</v>
      </c>
      <c r="AE365" s="324">
        <f t="shared" ca="1" si="150"/>
        <v>433.19438923368728</v>
      </c>
      <c r="AG365" s="306">
        <f t="shared" ca="1" si="172"/>
        <v>30.659117292928588</v>
      </c>
      <c r="AH365" s="304">
        <f t="shared" ca="1" si="173"/>
        <v>40.398312604286517</v>
      </c>
    </row>
    <row r="366" spans="1:34" x14ac:dyDescent="0.25">
      <c r="A366" s="347">
        <f t="shared" ca="1" si="151"/>
        <v>0.01</v>
      </c>
      <c r="B366" s="304">
        <f t="shared" ca="1" si="152"/>
        <v>3.6199999999999668</v>
      </c>
      <c r="D366" s="306">
        <f t="shared" ca="1" si="153"/>
        <v>4.8277926648191798</v>
      </c>
      <c r="E366" s="307">
        <f t="shared" ca="1" si="154"/>
        <v>30.136165704070415</v>
      </c>
      <c r="F366" s="304">
        <f t="shared" ca="1" si="155"/>
        <v>30.520420464955457</v>
      </c>
      <c r="G366" s="306">
        <f t="shared" ca="1" si="156"/>
        <v>25.642277521828245</v>
      </c>
      <c r="H366" s="307">
        <f t="shared" ca="1" si="157"/>
        <v>212.07146444318946</v>
      </c>
      <c r="I366" s="304">
        <f t="shared" ca="1" si="158"/>
        <v>213.61608653747365</v>
      </c>
      <c r="J366" s="306">
        <f t="shared" ca="1" si="159"/>
        <v>48.836970448755437</v>
      </c>
      <c r="K366" s="307">
        <f t="shared" ca="1" si="160"/>
        <v>435.31359706983397</v>
      </c>
      <c r="L366" s="304">
        <f t="shared" ca="1" si="145"/>
        <v>438.044492576371</v>
      </c>
      <c r="M366" s="306">
        <f t="shared" ca="1" si="161"/>
        <v>1.4504670844725818</v>
      </c>
      <c r="N366" s="304">
        <f t="shared" ca="1" si="162"/>
        <v>83.105642262924391</v>
      </c>
      <c r="P366" s="310">
        <f t="shared" ca="1" si="163"/>
        <v>11</v>
      </c>
      <c r="Q366" s="304">
        <f t="shared" ca="1" si="164"/>
        <v>659.6500000000043</v>
      </c>
      <c r="R366" s="306">
        <f t="shared" ca="1" si="165"/>
        <v>0.33043996588953739</v>
      </c>
      <c r="S366" s="307">
        <f t="shared" ca="1" si="166"/>
        <v>10.88088752626517</v>
      </c>
      <c r="T366" s="304">
        <f t="shared" ca="1" si="146"/>
        <v>106.74150663266131</v>
      </c>
      <c r="U366" s="311">
        <f t="shared" ca="1" si="147"/>
        <v>0</v>
      </c>
      <c r="V366" s="306">
        <f t="shared" ca="1" si="148"/>
        <v>1.1728100344408701</v>
      </c>
      <c r="W366" s="304">
        <f t="shared" ca="1" si="149"/>
        <v>222.42503493598591</v>
      </c>
      <c r="Y366" s="314" t="str">
        <f t="shared" ca="1" si="167"/>
        <v/>
      </c>
      <c r="Z366" s="315" t="str">
        <f t="shared" ca="1" si="168"/>
        <v/>
      </c>
      <c r="AA366" s="316" t="str">
        <f t="shared" ca="1" si="169"/>
        <v/>
      </c>
      <c r="AC366" s="310" t="e">
        <f t="shared" ca="1" si="170"/>
        <v>#N/A</v>
      </c>
      <c r="AD366" s="323" t="e">
        <f t="shared" ca="1" si="171"/>
        <v>#N/A</v>
      </c>
      <c r="AE366" s="324">
        <f t="shared" ca="1" si="150"/>
        <v>435.31359706983397</v>
      </c>
      <c r="AG366" s="306">
        <f t="shared" ca="1" si="172"/>
        <v>30.497715101862216</v>
      </c>
      <c r="AH366" s="304">
        <f t="shared" ca="1" si="173"/>
        <v>40.23684550845821</v>
      </c>
    </row>
    <row r="367" spans="1:34" x14ac:dyDescent="0.25">
      <c r="A367" s="347">
        <f t="shared" ca="1" si="151"/>
        <v>0.01</v>
      </c>
      <c r="B367" s="304">
        <f t="shared" ca="1" si="152"/>
        <v>3.6299999999999666</v>
      </c>
      <c r="D367" s="306">
        <f t="shared" ca="1" si="153"/>
        <v>4.8106273075892441</v>
      </c>
      <c r="E367" s="307">
        <f t="shared" ca="1" si="154"/>
        <v>29.975731869659263</v>
      </c>
      <c r="F367" s="304">
        <f t="shared" ca="1" si="155"/>
        <v>30.359292419525019</v>
      </c>
      <c r="G367" s="306">
        <f t="shared" ca="1" si="156"/>
        <v>25.690383794904136</v>
      </c>
      <c r="H367" s="307">
        <f t="shared" ca="1" si="157"/>
        <v>212.37122176188606</v>
      </c>
      <c r="I367" s="304">
        <f t="shared" ca="1" si="158"/>
        <v>213.91945131793338</v>
      </c>
      <c r="J367" s="306">
        <f t="shared" ca="1" si="159"/>
        <v>49.093633755339098</v>
      </c>
      <c r="K367" s="307">
        <f t="shared" ca="1" si="160"/>
        <v>437.43581050085936</v>
      </c>
      <c r="L367" s="304">
        <f t="shared" ca="1" si="145"/>
        <v>440.18209093947377</v>
      </c>
      <c r="M367" s="306">
        <f t="shared" ca="1" si="161"/>
        <v>1.450412036494328</v>
      </c>
      <c r="N367" s="304">
        <f t="shared" ca="1" si="162"/>
        <v>83.102488246099725</v>
      </c>
      <c r="P367" s="310">
        <f t="shared" ca="1" si="163"/>
        <v>11</v>
      </c>
      <c r="Q367" s="304">
        <f t="shared" ca="1" si="164"/>
        <v>658.35000000000434</v>
      </c>
      <c r="R367" s="306">
        <f t="shared" ca="1" si="165"/>
        <v>0.32978875395039337</v>
      </c>
      <c r="S367" s="307">
        <f t="shared" ca="1" si="166"/>
        <v>10.877589638725667</v>
      </c>
      <c r="T367" s="304">
        <f t="shared" ca="1" si="146"/>
        <v>106.70915435589879</v>
      </c>
      <c r="U367" s="311">
        <f t="shared" ca="1" si="147"/>
        <v>0</v>
      </c>
      <c r="V367" s="306">
        <f t="shared" ca="1" si="148"/>
        <v>1.1725610470088206</v>
      </c>
      <c r="W367" s="304">
        <f t="shared" ca="1" si="149"/>
        <v>223.00987794155728</v>
      </c>
      <c r="Y367" s="314" t="str">
        <f t="shared" ca="1" si="167"/>
        <v/>
      </c>
      <c r="Z367" s="315" t="str">
        <f t="shared" ca="1" si="168"/>
        <v/>
      </c>
      <c r="AA367" s="316" t="str">
        <f t="shared" ca="1" si="169"/>
        <v/>
      </c>
      <c r="AC367" s="310" t="e">
        <f t="shared" ca="1" si="170"/>
        <v>#N/A</v>
      </c>
      <c r="AD367" s="323" t="e">
        <f t="shared" ca="1" si="171"/>
        <v>#N/A</v>
      </c>
      <c r="AE367" s="324">
        <f t="shared" ca="1" si="150"/>
        <v>437.43581050085936</v>
      </c>
      <c r="AG367" s="306">
        <f t="shared" ca="1" si="172"/>
        <v>30.336445634179793</v>
      </c>
      <c r="AH367" s="304">
        <f t="shared" ca="1" si="173"/>
        <v>40.075511169502811</v>
      </c>
    </row>
    <row r="368" spans="1:34" x14ac:dyDescent="0.25">
      <c r="A368" s="347">
        <f t="shared" ca="1" si="151"/>
        <v>0.01</v>
      </c>
      <c r="B368" s="304">
        <f t="shared" ca="1" si="152"/>
        <v>3.6399999999999664</v>
      </c>
      <c r="D368" s="306">
        <f t="shared" ca="1" si="153"/>
        <v>4.7934582874878711</v>
      </c>
      <c r="E368" s="307">
        <f t="shared" ca="1" si="154"/>
        <v>29.815433434761069</v>
      </c>
      <c r="F368" s="304">
        <f t="shared" ca="1" si="155"/>
        <v>30.198299840496887</v>
      </c>
      <c r="G368" s="306">
        <f t="shared" ca="1" si="156"/>
        <v>25.738318377779013</v>
      </c>
      <c r="H368" s="307">
        <f t="shared" ca="1" si="157"/>
        <v>212.66937609623366</v>
      </c>
      <c r="I368" s="304">
        <f t="shared" ca="1" si="158"/>
        <v>214.22120474424841</v>
      </c>
      <c r="J368" s="306">
        <f t="shared" ca="1" si="159"/>
        <v>49.350777266202513</v>
      </c>
      <c r="K368" s="307">
        <f t="shared" ca="1" si="160"/>
        <v>439.56101349014995</v>
      </c>
      <c r="L368" s="304">
        <f t="shared" ca="1" si="145"/>
        <v>442.3227145391316</v>
      </c>
      <c r="M368" s="306">
        <f t="shared" ca="1" si="161"/>
        <v>1.4503570410308344</v>
      </c>
      <c r="N368" s="304">
        <f t="shared" ca="1" si="162"/>
        <v>83.099337238149175</v>
      </c>
      <c r="P368" s="310">
        <f t="shared" ca="1" si="163"/>
        <v>11</v>
      </c>
      <c r="Q368" s="304">
        <f t="shared" ca="1" si="164"/>
        <v>657.05000000000439</v>
      </c>
      <c r="R368" s="306">
        <f t="shared" ca="1" si="165"/>
        <v>0.32913754201124928</v>
      </c>
      <c r="S368" s="307">
        <f t="shared" ca="1" si="166"/>
        <v>10.874298263305555</v>
      </c>
      <c r="T368" s="304">
        <f t="shared" ca="1" si="146"/>
        <v>106.6768659630275</v>
      </c>
      <c r="U368" s="311">
        <f t="shared" ca="1" si="147"/>
        <v>0</v>
      </c>
      <c r="V368" s="306">
        <f t="shared" ca="1" si="148"/>
        <v>1.1723117606420168</v>
      </c>
      <c r="W368" s="304">
        <f t="shared" ca="1" si="149"/>
        <v>223.59192859935149</v>
      </c>
      <c r="Y368" s="314" t="str">
        <f t="shared" ca="1" si="167"/>
        <v/>
      </c>
      <c r="Z368" s="315" t="str">
        <f t="shared" ca="1" si="168"/>
        <v/>
      </c>
      <c r="AA368" s="316" t="str">
        <f t="shared" ca="1" si="169"/>
        <v/>
      </c>
      <c r="AC368" s="310" t="e">
        <f t="shared" ca="1" si="170"/>
        <v>#N/A</v>
      </c>
      <c r="AD368" s="323" t="e">
        <f t="shared" ca="1" si="171"/>
        <v>#N/A</v>
      </c>
      <c r="AE368" s="324">
        <f t="shared" ca="1" si="150"/>
        <v>439.56101349014995</v>
      </c>
      <c r="AG368" s="306">
        <f t="shared" ca="1" si="172"/>
        <v>30.175310235893811</v>
      </c>
      <c r="AH368" s="304">
        <f t="shared" ca="1" si="173"/>
        <v>39.914310932879282</v>
      </c>
    </row>
    <row r="369" spans="1:34" x14ac:dyDescent="0.25">
      <c r="A369" s="347">
        <f t="shared" ca="1" si="151"/>
        <v>0.01</v>
      </c>
      <c r="B369" s="304">
        <f t="shared" ca="1" si="152"/>
        <v>3.6499999999999662</v>
      </c>
      <c r="D369" s="306">
        <f t="shared" ca="1" si="153"/>
        <v>4.7762858337546694</v>
      </c>
      <c r="E369" s="307">
        <f t="shared" ca="1" si="154"/>
        <v>29.655271717162421</v>
      </c>
      <c r="F369" s="304">
        <f t="shared" ca="1" si="155"/>
        <v>30.03744408208626</v>
      </c>
      <c r="G369" s="306">
        <f t="shared" ca="1" si="156"/>
        <v>25.786081236116559</v>
      </c>
      <c r="H369" s="307">
        <f t="shared" ca="1" si="157"/>
        <v>212.9659288134053</v>
      </c>
      <c r="I369" s="304">
        <f t="shared" ca="1" si="158"/>
        <v>214.5213481704607</v>
      </c>
      <c r="J369" s="306">
        <f t="shared" ca="1" si="159"/>
        <v>49.608399264271988</v>
      </c>
      <c r="K369" s="307">
        <f t="shared" ca="1" si="160"/>
        <v>441.68919001469817</v>
      </c>
      <c r="L369" s="304">
        <f t="shared" ca="1" si="145"/>
        <v>444.4663472676009</v>
      </c>
      <c r="M369" s="306">
        <f t="shared" ca="1" si="161"/>
        <v>1.4503020975460192</v>
      </c>
      <c r="N369" s="304">
        <f t="shared" ca="1" si="162"/>
        <v>83.096189208357529</v>
      </c>
      <c r="P369" s="310">
        <f t="shared" ca="1" si="163"/>
        <v>11</v>
      </c>
      <c r="Q369" s="304">
        <f t="shared" ca="1" si="164"/>
        <v>655.75000000000443</v>
      </c>
      <c r="R369" s="306">
        <f t="shared" ca="1" si="165"/>
        <v>0.3284863300721052</v>
      </c>
      <c r="S369" s="307">
        <f t="shared" ca="1" si="166"/>
        <v>10.871013400004834</v>
      </c>
      <c r="T369" s="304">
        <f t="shared" ca="1" si="146"/>
        <v>106.64464145404743</v>
      </c>
      <c r="U369" s="311">
        <f t="shared" ca="1" si="147"/>
        <v>0</v>
      </c>
      <c r="V369" s="306">
        <f t="shared" ca="1" si="148"/>
        <v>1.172062177421981</v>
      </c>
      <c r="W369" s="304">
        <f t="shared" ca="1" si="149"/>
        <v>224.17117701829875</v>
      </c>
      <c r="Y369" s="314" t="str">
        <f t="shared" ca="1" si="167"/>
        <v/>
      </c>
      <c r="Z369" s="315" t="str">
        <f t="shared" ca="1" si="168"/>
        <v/>
      </c>
      <c r="AA369" s="316" t="str">
        <f t="shared" ca="1" si="169"/>
        <v/>
      </c>
      <c r="AC369" s="310" t="e">
        <f t="shared" ca="1" si="170"/>
        <v>#N/A</v>
      </c>
      <c r="AD369" s="323" t="e">
        <f t="shared" ca="1" si="171"/>
        <v>#N/A</v>
      </c>
      <c r="AE369" s="324">
        <f t="shared" ca="1" si="150"/>
        <v>441.68919001469817</v>
      </c>
      <c r="AG369" s="306">
        <f t="shared" ca="1" si="172"/>
        <v>30.014310241518238</v>
      </c>
      <c r="AH369" s="304">
        <f t="shared" ca="1" si="173"/>
        <v>39.753246132551062</v>
      </c>
    </row>
    <row r="370" spans="1:34" x14ac:dyDescent="0.25">
      <c r="A370" s="347">
        <f t="shared" ca="1" si="151"/>
        <v>0.01</v>
      </c>
      <c r="B370" s="304">
        <f t="shared" ca="1" si="152"/>
        <v>3.6599999999999659</v>
      </c>
      <c r="D370" s="306">
        <f t="shared" ca="1" si="153"/>
        <v>4.7650471684355091</v>
      </c>
      <c r="E370" s="307">
        <f t="shared" ca="1" si="154"/>
        <v>29.544281357192602</v>
      </c>
      <c r="F370" s="304">
        <f t="shared" ca="1" si="155"/>
        <v>29.926079519883213</v>
      </c>
      <c r="G370" s="306">
        <f t="shared" ca="1" si="156"/>
        <v>25.833731707800915</v>
      </c>
      <c r="H370" s="307">
        <f t="shared" ca="1" si="157"/>
        <v>213.26137162697722</v>
      </c>
      <c r="I370" s="304">
        <f t="shared" ca="1" si="158"/>
        <v>214.82037687838258</v>
      </c>
      <c r="J370" s="306">
        <f t="shared" ca="1" si="159"/>
        <v>49.866498328991575</v>
      </c>
      <c r="K370" s="307">
        <f t="shared" ca="1" si="160"/>
        <v>443.82032651690008</v>
      </c>
      <c r="L370" s="304">
        <f t="shared" ca="1" si="145"/>
        <v>446.61297550022334</v>
      </c>
      <c r="M370" s="306">
        <f t="shared" ca="1" si="161"/>
        <v>1.4502472056335289</v>
      </c>
      <c r="N370" s="304">
        <f t="shared" ca="1" si="162"/>
        <v>83.093044133442433</v>
      </c>
      <c r="P370" s="310">
        <f t="shared" ca="1" si="163"/>
        <v>12</v>
      </c>
      <c r="Q370" s="304">
        <f t="shared" ca="1" si="164"/>
        <v>654.98666666666747</v>
      </c>
      <c r="R370" s="306">
        <f t="shared" ca="1" si="165"/>
        <v>0.32810395177963164</v>
      </c>
      <c r="S370" s="307">
        <f t="shared" ca="1" si="166"/>
        <v>10.867732360487038</v>
      </c>
      <c r="T370" s="304">
        <f t="shared" ca="1" si="146"/>
        <v>106.61245445637785</v>
      </c>
      <c r="U370" s="311">
        <f t="shared" ca="1" si="147"/>
        <v>0</v>
      </c>
      <c r="V370" s="306">
        <f t="shared" ca="1" si="148"/>
        <v>1.1718122991398028</v>
      </c>
      <c r="W370" s="304">
        <f t="shared" ca="1" si="149"/>
        <v>224.7486468708515</v>
      </c>
      <c r="Y370" s="314" t="str">
        <f t="shared" ca="1" si="167"/>
        <v/>
      </c>
      <c r="Z370" s="315" t="str">
        <f t="shared" ca="1" si="168"/>
        <v/>
      </c>
      <c r="AA370" s="316" t="str">
        <f t="shared" ca="1" si="169"/>
        <v/>
      </c>
      <c r="AC370" s="310" t="e">
        <f t="shared" ca="1" si="170"/>
        <v>#N/A</v>
      </c>
      <c r="AD370" s="323" t="e">
        <f t="shared" ca="1" si="171"/>
        <v>#N/A</v>
      </c>
      <c r="AE370" s="324">
        <f t="shared" ca="1" si="150"/>
        <v>443.82032651690008</v>
      </c>
      <c r="AG370" s="306">
        <f t="shared" ca="1" si="172"/>
        <v>29.902838428187785</v>
      </c>
      <c r="AH370" s="304">
        <f t="shared" ca="1" si="173"/>
        <v>39.6417095451053</v>
      </c>
    </row>
    <row r="371" spans="1:34" x14ac:dyDescent="0.25">
      <c r="A371" s="347">
        <f t="shared" ca="1" si="151"/>
        <v>0.01</v>
      </c>
      <c r="B371" s="304">
        <f t="shared" ca="1" si="152"/>
        <v>3.6699999999999657</v>
      </c>
      <c r="D371" s="306">
        <f t="shared" ca="1" si="153"/>
        <v>4.7597456867456227</v>
      </c>
      <c r="E371" s="307">
        <f t="shared" ca="1" si="154"/>
        <v>29.482422218832745</v>
      </c>
      <c r="F371" s="304">
        <f t="shared" ca="1" si="155"/>
        <v>29.864165799365907</v>
      </c>
      <c r="G371" s="306">
        <f t="shared" ca="1" si="156"/>
        <v>25.881329164668372</v>
      </c>
      <c r="H371" s="307">
        <f t="shared" ca="1" si="157"/>
        <v>213.55619584916556</v>
      </c>
      <c r="I371" s="304">
        <f t="shared" ca="1" si="158"/>
        <v>215.11878575544506</v>
      </c>
      <c r="J371" s="306">
        <f t="shared" ca="1" si="159"/>
        <v>50.125073633353921</v>
      </c>
      <c r="K371" s="307">
        <f t="shared" ca="1" si="160"/>
        <v>445.9544143542808</v>
      </c>
      <c r="L371" s="304">
        <f t="shared" ca="1" si="145"/>
        <v>448.76259056300444</v>
      </c>
      <c r="M371" s="306">
        <f t="shared" ca="1" si="161"/>
        <v>1.4501923650154855</v>
      </c>
      <c r="N371" s="304">
        <f t="shared" ca="1" si="162"/>
        <v>83.089901997482656</v>
      </c>
      <c r="P371" s="310">
        <f t="shared" ca="1" si="163"/>
        <v>12</v>
      </c>
      <c r="Q371" s="304">
        <f t="shared" ca="1" si="164"/>
        <v>654.76000000000079</v>
      </c>
      <c r="R371" s="306">
        <f t="shared" ca="1" si="165"/>
        <v>0.32799040713383215</v>
      </c>
      <c r="S371" s="307">
        <f t="shared" ca="1" si="166"/>
        <v>10.8644524564157</v>
      </c>
      <c r="T371" s="304">
        <f t="shared" ca="1" si="146"/>
        <v>106.58027859743802</v>
      </c>
      <c r="U371" s="311">
        <f t="shared" ca="1" si="147"/>
        <v>0</v>
      </c>
      <c r="V371" s="306">
        <f t="shared" ca="1" si="148"/>
        <v>1.1715621270092962</v>
      </c>
      <c r="W371" s="304">
        <f t="shared" ca="1" si="149"/>
        <v>225.32536584542584</v>
      </c>
      <c r="Y371" s="314" t="str">
        <f t="shared" ca="1" si="167"/>
        <v/>
      </c>
      <c r="Z371" s="315" t="str">
        <f t="shared" ca="1" si="168"/>
        <v/>
      </c>
      <c r="AA371" s="316" t="str">
        <f t="shared" ca="1" si="169"/>
        <v/>
      </c>
      <c r="AC371" s="310" t="e">
        <f t="shared" ca="1" si="170"/>
        <v>#N/A</v>
      </c>
      <c r="AD371" s="323" t="e">
        <f t="shared" ca="1" si="171"/>
        <v>#N/A</v>
      </c>
      <c r="AE371" s="324">
        <f t="shared" ca="1" si="150"/>
        <v>445.9544143542808</v>
      </c>
      <c r="AG371" s="306">
        <f t="shared" ca="1" si="172"/>
        <v>29.840855357831618</v>
      </c>
      <c r="AH371" s="304">
        <f t="shared" ca="1" si="173"/>
        <v>39.579661732075415</v>
      </c>
    </row>
    <row r="372" spans="1:34" x14ac:dyDescent="0.25">
      <c r="A372" s="347">
        <f t="shared" ca="1" si="151"/>
        <v>0.01</v>
      </c>
      <c r="B372" s="304">
        <f t="shared" ca="1" si="152"/>
        <v>3.6799999999999655</v>
      </c>
      <c r="D372" s="306">
        <f t="shared" ca="1" si="153"/>
        <v>4.7544387279330698</v>
      </c>
      <c r="E372" s="307">
        <f t="shared" ca="1" si="154"/>
        <v>29.420591353144772</v>
      </c>
      <c r="F372" s="304">
        <f t="shared" ca="1" si="155"/>
        <v>29.802279832026386</v>
      </c>
      <c r="G372" s="306">
        <f t="shared" ca="1" si="156"/>
        <v>25.928873551947703</v>
      </c>
      <c r="H372" s="307">
        <f t="shared" ca="1" si="157"/>
        <v>213.850401762697</v>
      </c>
      <c r="I372" s="304">
        <f t="shared" ca="1" si="158"/>
        <v>215.41657507661711</v>
      </c>
      <c r="J372" s="306">
        <f t="shared" ca="1" si="159"/>
        <v>50.384124646937003</v>
      </c>
      <c r="K372" s="307">
        <f t="shared" ca="1" si="160"/>
        <v>448.09144734234013</v>
      </c>
      <c r="L372" s="304">
        <f t="shared" ca="1" si="145"/>
        <v>450.91518625767225</v>
      </c>
      <c r="M372" s="306">
        <f t="shared" ca="1" si="161"/>
        <v>1.4501375754155523</v>
      </c>
      <c r="N372" s="304">
        <f t="shared" ca="1" si="162"/>
        <v>83.086762784645273</v>
      </c>
      <c r="P372" s="310">
        <f t="shared" ca="1" si="163"/>
        <v>12</v>
      </c>
      <c r="Q372" s="304">
        <f t="shared" ca="1" si="164"/>
        <v>654.5333333333341</v>
      </c>
      <c r="R372" s="306">
        <f t="shared" ca="1" si="165"/>
        <v>0.32787686248803266</v>
      </c>
      <c r="S372" s="307">
        <f t="shared" ca="1" si="166"/>
        <v>10.861173687790819</v>
      </c>
      <c r="T372" s="304">
        <f t="shared" ca="1" si="146"/>
        <v>106.54811387722793</v>
      </c>
      <c r="U372" s="311">
        <f t="shared" ca="1" si="147"/>
        <v>0</v>
      </c>
      <c r="V372" s="306">
        <f t="shared" ca="1" si="148"/>
        <v>1.1713116619555506</v>
      </c>
      <c r="W372" s="304">
        <f t="shared" ca="1" si="149"/>
        <v>225.90132909854771</v>
      </c>
      <c r="Y372" s="314" t="str">
        <f t="shared" ca="1" si="167"/>
        <v/>
      </c>
      <c r="Z372" s="315" t="str">
        <f t="shared" ca="1" si="168"/>
        <v/>
      </c>
      <c r="AA372" s="316" t="str">
        <f t="shared" ca="1" si="169"/>
        <v/>
      </c>
      <c r="AC372" s="310" t="e">
        <f t="shared" ca="1" si="170"/>
        <v>#N/A</v>
      </c>
      <c r="AD372" s="323" t="e">
        <f t="shared" ca="1" si="171"/>
        <v>#N/A</v>
      </c>
      <c r="AE372" s="324">
        <f t="shared" ca="1" si="150"/>
        <v>448.09144734234013</v>
      </c>
      <c r="AG372" s="306">
        <f t="shared" ca="1" si="172"/>
        <v>29.778899784251816</v>
      </c>
      <c r="AH372" s="304">
        <f t="shared" ca="1" si="173"/>
        <v>39.517641447018413</v>
      </c>
    </row>
    <row r="373" spans="1:34" x14ac:dyDescent="0.25">
      <c r="A373" s="347">
        <f t="shared" ca="1" si="151"/>
        <v>0.01</v>
      </c>
      <c r="B373" s="304">
        <f t="shared" ca="1" si="152"/>
        <v>3.6899999999999653</v>
      </c>
      <c r="D373" s="306">
        <f t="shared" ca="1" si="153"/>
        <v>4.7491263759296904</v>
      </c>
      <c r="E373" s="307">
        <f t="shared" ca="1" si="154"/>
        <v>29.358789244918675</v>
      </c>
      <c r="F373" s="304">
        <f t="shared" ca="1" si="155"/>
        <v>29.740422109682697</v>
      </c>
      <c r="G373" s="306">
        <f t="shared" ca="1" si="156"/>
        <v>25.976364815707001</v>
      </c>
      <c r="H373" s="307">
        <f t="shared" ca="1" si="157"/>
        <v>214.14398965514619</v>
      </c>
      <c r="I373" s="304">
        <f t="shared" ca="1" si="158"/>
        <v>215.71374512177488</v>
      </c>
      <c r="J373" s="306">
        <f t="shared" ca="1" si="159"/>
        <v>50.64365083877528</v>
      </c>
      <c r="K373" s="307">
        <f t="shared" ca="1" si="160"/>
        <v>450.23141929942938</v>
      </c>
      <c r="L373" s="304">
        <f t="shared" ca="1" si="145"/>
        <v>453.07075638873272</v>
      </c>
      <c r="M373" s="306">
        <f t="shared" ca="1" si="161"/>
        <v>1.4500828365589225</v>
      </c>
      <c r="N373" s="304">
        <f t="shared" ca="1" si="162"/>
        <v>83.083626479185014</v>
      </c>
      <c r="P373" s="310">
        <f t="shared" ca="1" si="163"/>
        <v>12</v>
      </c>
      <c r="Q373" s="304">
        <f t="shared" ca="1" si="164"/>
        <v>654.30666666666752</v>
      </c>
      <c r="R373" s="306">
        <f t="shared" ca="1" si="165"/>
        <v>0.32776331784223323</v>
      </c>
      <c r="S373" s="307">
        <f t="shared" ca="1" si="166"/>
        <v>10.857896054612397</v>
      </c>
      <c r="T373" s="304">
        <f t="shared" ca="1" si="146"/>
        <v>106.51596029574762</v>
      </c>
      <c r="U373" s="311">
        <f t="shared" ca="1" si="147"/>
        <v>0</v>
      </c>
      <c r="V373" s="306">
        <f t="shared" ca="1" si="148"/>
        <v>1.1710609049028848</v>
      </c>
      <c r="W373" s="304">
        <f t="shared" ca="1" si="149"/>
        <v>226.47653181804546</v>
      </c>
      <c r="Y373" s="314" t="str">
        <f t="shared" ca="1" si="167"/>
        <v/>
      </c>
      <c r="Z373" s="315" t="str">
        <f t="shared" ca="1" si="168"/>
        <v/>
      </c>
      <c r="AA373" s="316" t="str">
        <f t="shared" ca="1" si="169"/>
        <v/>
      </c>
      <c r="AC373" s="310" t="e">
        <f t="shared" ca="1" si="170"/>
        <v>#N/A</v>
      </c>
      <c r="AD373" s="323" t="e">
        <f t="shared" ca="1" si="171"/>
        <v>#N/A</v>
      </c>
      <c r="AE373" s="324">
        <f t="shared" ca="1" si="150"/>
        <v>450.23141929942938</v>
      </c>
      <c r="AG373" s="306">
        <f t="shared" ca="1" si="172"/>
        <v>29.716972198165713</v>
      </c>
      <c r="AH373" s="304">
        <f t="shared" ca="1" si="173"/>
        <v>39.455649180407718</v>
      </c>
    </row>
    <row r="374" spans="1:34" x14ac:dyDescent="0.25">
      <c r="A374" s="347">
        <f t="shared" ca="1" si="151"/>
        <v>0.01</v>
      </c>
      <c r="B374" s="304">
        <f t="shared" ca="1" si="152"/>
        <v>3.6999999999999651</v>
      </c>
      <c r="D374" s="306">
        <f t="shared" ca="1" si="153"/>
        <v>4.7438087143591057</v>
      </c>
      <c r="E374" s="307">
        <f t="shared" ca="1" si="154"/>
        <v>29.297016376650753</v>
      </c>
      <c r="F374" s="304">
        <f t="shared" ca="1" si="155"/>
        <v>29.67859312184747</v>
      </c>
      <c r="G374" s="306">
        <f t="shared" ca="1" si="156"/>
        <v>26.023802902850591</v>
      </c>
      <c r="H374" s="307">
        <f t="shared" ca="1" si="157"/>
        <v>214.4369598189127</v>
      </c>
      <c r="I374" s="304">
        <f t="shared" ca="1" si="158"/>
        <v>216.0102961756786</v>
      </c>
      <c r="J374" s="306">
        <f t="shared" ca="1" si="159"/>
        <v>50.903651677368067</v>
      </c>
      <c r="K374" s="307">
        <f t="shared" ca="1" si="160"/>
        <v>452.37432404679964</v>
      </c>
      <c r="L374" s="304">
        <f t="shared" ca="1" si="145"/>
        <v>455.22929476351777</v>
      </c>
      <c r="M374" s="306">
        <f t="shared" ca="1" si="161"/>
        <v>1.4500281481723079</v>
      </c>
      <c r="N374" s="304">
        <f t="shared" ca="1" si="162"/>
        <v>83.080493065443619</v>
      </c>
      <c r="P374" s="310">
        <f t="shared" ca="1" si="163"/>
        <v>12</v>
      </c>
      <c r="Q374" s="304">
        <f t="shared" ca="1" si="164"/>
        <v>654.08000000000084</v>
      </c>
      <c r="R374" s="306">
        <f t="shared" ca="1" si="165"/>
        <v>0.32764977319643374</v>
      </c>
      <c r="S374" s="307">
        <f t="shared" ca="1" si="166"/>
        <v>10.854619556880433</v>
      </c>
      <c r="T374" s="304">
        <f t="shared" ca="1" si="146"/>
        <v>106.48381785299705</v>
      </c>
      <c r="U374" s="311">
        <f t="shared" ca="1" si="147"/>
        <v>0</v>
      </c>
      <c r="V374" s="306">
        <f t="shared" ca="1" si="148"/>
        <v>1.1708098567748413</v>
      </c>
      <c r="W374" s="304">
        <f t="shared" ca="1" si="149"/>
        <v>227.0509692230348</v>
      </c>
      <c r="Y374" s="314" t="str">
        <f t="shared" ca="1" si="167"/>
        <v/>
      </c>
      <c r="Z374" s="315" t="str">
        <f t="shared" ca="1" si="168"/>
        <v/>
      </c>
      <c r="AA374" s="316" t="str">
        <f t="shared" ca="1" si="169"/>
        <v/>
      </c>
      <c r="AC374" s="310" t="e">
        <f t="shared" ca="1" si="170"/>
        <v>#N/A</v>
      </c>
      <c r="AD374" s="323" t="e">
        <f t="shared" ca="1" si="171"/>
        <v>#N/A</v>
      </c>
      <c r="AE374" s="324">
        <f t="shared" ca="1" si="150"/>
        <v>452.37432404679964</v>
      </c>
      <c r="AG374" s="306">
        <f t="shared" ca="1" si="172"/>
        <v>29.655073087980675</v>
      </c>
      <c r="AH374" s="304">
        <f t="shared" ca="1" si="173"/>
        <v>39.39368542040792</v>
      </c>
    </row>
    <row r="375" spans="1:34" x14ac:dyDescent="0.25">
      <c r="A375" s="347">
        <f t="shared" ca="1" si="151"/>
        <v>0.01</v>
      </c>
      <c r="B375" s="304">
        <f t="shared" ca="1" si="152"/>
        <v>3.7099999999999649</v>
      </c>
      <c r="D375" s="306">
        <f t="shared" ca="1" si="153"/>
        <v>4.73848582653652</v>
      </c>
      <c r="E375" s="307">
        <f t="shared" ca="1" si="154"/>
        <v>29.235273228541004</v>
      </c>
      <c r="F375" s="304">
        <f t="shared" ca="1" si="155"/>
        <v>29.616793355725292</v>
      </c>
      <c r="G375" s="306">
        <f t="shared" ca="1" si="156"/>
        <v>26.071187761115954</v>
      </c>
      <c r="H375" s="307">
        <f t="shared" ca="1" si="157"/>
        <v>214.72931255119812</v>
      </c>
      <c r="I375" s="304">
        <f t="shared" ca="1" si="158"/>
        <v>216.30622852794946</v>
      </c>
      <c r="J375" s="306">
        <f t="shared" ca="1" si="159"/>
        <v>51.164126630687903</v>
      </c>
      <c r="K375" s="307">
        <f t="shared" ca="1" si="160"/>
        <v>454.52015540865023</v>
      </c>
      <c r="L375" s="304">
        <f t="shared" ca="1" si="145"/>
        <v>457.39079519223452</v>
      </c>
      <c r="M375" s="306">
        <f t="shared" ca="1" si="161"/>
        <v>1.4499735099839266</v>
      </c>
      <c r="N375" s="304">
        <f t="shared" ca="1" si="162"/>
        <v>83.077362527849132</v>
      </c>
      <c r="P375" s="310">
        <f t="shared" ca="1" si="163"/>
        <v>12</v>
      </c>
      <c r="Q375" s="304">
        <f t="shared" ca="1" si="164"/>
        <v>653.85333333333415</v>
      </c>
      <c r="R375" s="306">
        <f t="shared" ca="1" si="165"/>
        <v>0.32753622855063425</v>
      </c>
      <c r="S375" s="307">
        <f t="shared" ca="1" si="166"/>
        <v>10.851344194594926</v>
      </c>
      <c r="T375" s="304">
        <f t="shared" ca="1" si="146"/>
        <v>106.45168654897623</v>
      </c>
      <c r="U375" s="311">
        <f t="shared" ca="1" si="147"/>
        <v>0</v>
      </c>
      <c r="V375" s="306">
        <f t="shared" ca="1" si="148"/>
        <v>1.1705585184941758</v>
      </c>
      <c r="W375" s="304">
        <f t="shared" ca="1" si="149"/>
        <v>227.62463656390076</v>
      </c>
      <c r="Y375" s="314" t="str">
        <f t="shared" ca="1" si="167"/>
        <v/>
      </c>
      <c r="Z375" s="315" t="str">
        <f t="shared" ca="1" si="168"/>
        <v/>
      </c>
      <c r="AA375" s="316" t="str">
        <f t="shared" ca="1" si="169"/>
        <v/>
      </c>
      <c r="AC375" s="310" t="e">
        <f t="shared" ca="1" si="170"/>
        <v>#N/A</v>
      </c>
      <c r="AD375" s="323" t="e">
        <f t="shared" ca="1" si="171"/>
        <v>#N/A</v>
      </c>
      <c r="AE375" s="324">
        <f t="shared" ca="1" si="150"/>
        <v>454.52015540865023</v>
      </c>
      <c r="AG375" s="306">
        <f t="shared" ca="1" si="172"/>
        <v>29.593202939791475</v>
      </c>
      <c r="AH375" s="304">
        <f t="shared" ca="1" si="173"/>
        <v>39.331750652872145</v>
      </c>
    </row>
    <row r="376" spans="1:34" x14ac:dyDescent="0.25">
      <c r="A376" s="347">
        <f t="shared" ca="1" si="151"/>
        <v>0.01</v>
      </c>
      <c r="B376" s="304">
        <f t="shared" ca="1" si="152"/>
        <v>3.7199999999999647</v>
      </c>
      <c r="D376" s="306">
        <f t="shared" ca="1" si="153"/>
        <v>4.7331577954686015</v>
      </c>
      <c r="E376" s="307">
        <f t="shared" ca="1" si="154"/>
        <v>29.173560278490832</v>
      </c>
      <c r="F376" s="304">
        <f t="shared" ca="1" si="155"/>
        <v>29.555023296210464</v>
      </c>
      <c r="G376" s="306">
        <f t="shared" ca="1" si="156"/>
        <v>26.118519339070641</v>
      </c>
      <c r="H376" s="307">
        <f t="shared" ca="1" si="157"/>
        <v>215.02104815398303</v>
      </c>
      <c r="I376" s="304">
        <f t="shared" ca="1" si="158"/>
        <v>216.60154247304632</v>
      </c>
      <c r="J376" s="306">
        <f t="shared" ca="1" si="159"/>
        <v>51.425075166188833</v>
      </c>
      <c r="K376" s="307">
        <f t="shared" ca="1" si="160"/>
        <v>456.66890721217612</v>
      </c>
      <c r="L376" s="304">
        <f t="shared" ca="1" si="145"/>
        <v>459.55525148801343</v>
      </c>
      <c r="M376" s="306">
        <f t="shared" ca="1" si="161"/>
        <v>1.4499189217234938</v>
      </c>
      <c r="N376" s="304">
        <f t="shared" ca="1" si="162"/>
        <v>83.074234850915374</v>
      </c>
      <c r="P376" s="310">
        <f t="shared" ca="1" si="163"/>
        <v>12</v>
      </c>
      <c r="Q376" s="304">
        <f t="shared" ca="1" si="164"/>
        <v>653.62666666666746</v>
      </c>
      <c r="R376" s="306">
        <f t="shared" ca="1" si="165"/>
        <v>0.32742268390483475</v>
      </c>
      <c r="S376" s="307">
        <f t="shared" ca="1" si="166"/>
        <v>10.848069967755878</v>
      </c>
      <c r="T376" s="304">
        <f t="shared" ca="1" si="146"/>
        <v>106.41956638368517</v>
      </c>
      <c r="U376" s="311">
        <f t="shared" ca="1" si="147"/>
        <v>0</v>
      </c>
      <c r="V376" s="306">
        <f t="shared" ca="1" si="148"/>
        <v>1.1703068909828533</v>
      </c>
      <c r="W376" s="304">
        <f t="shared" ca="1" si="149"/>
        <v>228.19752912228094</v>
      </c>
      <c r="Y376" s="314" t="str">
        <f t="shared" ca="1" si="167"/>
        <v/>
      </c>
      <c r="Z376" s="315" t="str">
        <f t="shared" ca="1" si="168"/>
        <v/>
      </c>
      <c r="AA376" s="316" t="str">
        <f t="shared" ca="1" si="169"/>
        <v/>
      </c>
      <c r="AC376" s="310" t="e">
        <f t="shared" ca="1" si="170"/>
        <v>#N/A</v>
      </c>
      <c r="AD376" s="323" t="e">
        <f t="shared" ca="1" si="171"/>
        <v>#N/A</v>
      </c>
      <c r="AE376" s="324">
        <f t="shared" ca="1" si="150"/>
        <v>456.66890721217612</v>
      </c>
      <c r="AG376" s="306">
        <f t="shared" ca="1" si="172"/>
        <v>29.531362237377934</v>
      </c>
      <c r="AH376" s="304">
        <f t="shared" ca="1" si="173"/>
        <v>39.269845361339705</v>
      </c>
    </row>
    <row r="377" spans="1:34" x14ac:dyDescent="0.25">
      <c r="A377" s="347">
        <f t="shared" ca="1" si="151"/>
        <v>0.01</v>
      </c>
      <c r="B377" s="304">
        <f t="shared" ca="1" si="152"/>
        <v>3.7299999999999645</v>
      </c>
      <c r="D377" s="306">
        <f t="shared" ca="1" si="153"/>
        <v>4.7278247038532148</v>
      </c>
      <c r="E377" s="307">
        <f t="shared" ca="1" si="154"/>
        <v>29.111878002100624</v>
      </c>
      <c r="F377" s="304">
        <f t="shared" ca="1" si="155"/>
        <v>29.493283425884528</v>
      </c>
      <c r="G377" s="306">
        <f t="shared" ca="1" si="156"/>
        <v>26.165797586109171</v>
      </c>
      <c r="H377" s="307">
        <f t="shared" ca="1" si="157"/>
        <v>215.31216693400404</v>
      </c>
      <c r="I377" s="304">
        <f t="shared" ca="1" si="158"/>
        <v>216.89623831024286</v>
      </c>
      <c r="J377" s="306">
        <f t="shared" ca="1" si="159"/>
        <v>51.686496750814733</v>
      </c>
      <c r="K377" s="307">
        <f t="shared" ca="1" si="160"/>
        <v>458.82057328761607</v>
      </c>
      <c r="L377" s="304">
        <f t="shared" ca="1" si="145"/>
        <v>461.72265746695672</v>
      </c>
      <c r="M377" s="306">
        <f t="shared" ca="1" si="161"/>
        <v>1.4498643831222078</v>
      </c>
      <c r="N377" s="304">
        <f t="shared" ca="1" si="162"/>
        <v>83.071110019241132</v>
      </c>
      <c r="P377" s="310">
        <f t="shared" ca="1" si="163"/>
        <v>12</v>
      </c>
      <c r="Q377" s="304">
        <f t="shared" ca="1" si="164"/>
        <v>653.40000000000089</v>
      </c>
      <c r="R377" s="306">
        <f t="shared" ca="1" si="165"/>
        <v>0.32730913925903532</v>
      </c>
      <c r="S377" s="307">
        <f t="shared" ca="1" si="166"/>
        <v>10.844796876363288</v>
      </c>
      <c r="T377" s="304">
        <f t="shared" ca="1" si="146"/>
        <v>106.38745735712386</v>
      </c>
      <c r="U377" s="311">
        <f t="shared" ca="1" si="147"/>
        <v>0</v>
      </c>
      <c r="V377" s="306">
        <f t="shared" ca="1" si="148"/>
        <v>1.1700549751620399</v>
      </c>
      <c r="W377" s="304">
        <f t="shared" ca="1" si="149"/>
        <v>228.76964221104689</v>
      </c>
      <c r="Y377" s="314" t="str">
        <f t="shared" ca="1" si="167"/>
        <v/>
      </c>
      <c r="Z377" s="315" t="str">
        <f t="shared" ca="1" si="168"/>
        <v/>
      </c>
      <c r="AA377" s="316" t="str">
        <f t="shared" ca="1" si="169"/>
        <v/>
      </c>
      <c r="AC377" s="310" t="e">
        <f t="shared" ca="1" si="170"/>
        <v>#N/A</v>
      </c>
      <c r="AD377" s="323" t="e">
        <f t="shared" ca="1" si="171"/>
        <v>#N/A</v>
      </c>
      <c r="AE377" s="324">
        <f t="shared" ca="1" si="150"/>
        <v>458.82057328761607</v>
      </c>
      <c r="AG377" s="306">
        <f t="shared" ca="1" si="172"/>
        <v>29.469551462202517</v>
      </c>
      <c r="AH377" s="304">
        <f t="shared" ca="1" si="173"/>
        <v>39.207970027033653</v>
      </c>
    </row>
    <row r="378" spans="1:34" x14ac:dyDescent="0.25">
      <c r="A378" s="347">
        <f t="shared" ca="1" si="151"/>
        <v>0.01</v>
      </c>
      <c r="B378" s="304">
        <f t="shared" ca="1" si="152"/>
        <v>3.7399999999999642</v>
      </c>
      <c r="D378" s="306">
        <f t="shared" ca="1" si="153"/>
        <v>4.7224866340793588</v>
      </c>
      <c r="E378" s="307">
        <f t="shared" ca="1" si="154"/>
        <v>29.050226872667459</v>
      </c>
      <c r="F378" s="304">
        <f t="shared" ca="1" si="155"/>
        <v>29.431574225014003</v>
      </c>
      <c r="G378" s="306">
        <f t="shared" ca="1" si="156"/>
        <v>26.213022452449966</v>
      </c>
      <c r="H378" s="307">
        <f t="shared" ca="1" si="157"/>
        <v>215.60266920273071</v>
      </c>
      <c r="I378" s="304">
        <f t="shared" ca="1" si="158"/>
        <v>217.19031634360397</v>
      </c>
      <c r="J378" s="306">
        <f t="shared" ca="1" si="159"/>
        <v>51.948390851007531</v>
      </c>
      <c r="K378" s="307">
        <f t="shared" ca="1" si="160"/>
        <v>460.97514746829972</v>
      </c>
      <c r="L378" s="304">
        <f t="shared" ca="1" si="145"/>
        <v>463.89300694818598</v>
      </c>
      <c r="M378" s="306">
        <f t="shared" ca="1" si="161"/>
        <v>1.4498098939127417</v>
      </c>
      <c r="N378" s="304">
        <f t="shared" ca="1" si="162"/>
        <v>83.06798801750972</v>
      </c>
      <c r="P378" s="310">
        <f t="shared" ca="1" si="163"/>
        <v>12</v>
      </c>
      <c r="Q378" s="304">
        <f t="shared" ca="1" si="164"/>
        <v>653.1733333333342</v>
      </c>
      <c r="R378" s="306">
        <f t="shared" ca="1" si="165"/>
        <v>0.32719559461323577</v>
      </c>
      <c r="S378" s="307">
        <f t="shared" ca="1" si="166"/>
        <v>10.841524920417156</v>
      </c>
      <c r="T378" s="304">
        <f t="shared" ca="1" si="146"/>
        <v>106.3553594692923</v>
      </c>
      <c r="U378" s="311">
        <f t="shared" ca="1" si="147"/>
        <v>0</v>
      </c>
      <c r="V378" s="306">
        <f t="shared" ca="1" si="148"/>
        <v>1.1698027719520947</v>
      </c>
      <c r="W378" s="304">
        <f t="shared" ca="1" si="149"/>
        <v>229.34097117428291</v>
      </c>
      <c r="Y378" s="314" t="str">
        <f t="shared" ca="1" si="167"/>
        <v/>
      </c>
      <c r="Z378" s="315" t="str">
        <f t="shared" ca="1" si="168"/>
        <v/>
      </c>
      <c r="AA378" s="316" t="str">
        <f t="shared" ca="1" si="169"/>
        <v/>
      </c>
      <c r="AC378" s="310" t="e">
        <f t="shared" ca="1" si="170"/>
        <v>#N/A</v>
      </c>
      <c r="AD378" s="323" t="e">
        <f t="shared" ca="1" si="171"/>
        <v>#N/A</v>
      </c>
      <c r="AE378" s="324">
        <f t="shared" ca="1" si="150"/>
        <v>460.97514746829972</v>
      </c>
      <c r="AG378" s="306">
        <f t="shared" ca="1" si="172"/>
        <v>29.407771093408005</v>
      </c>
      <c r="AH378" s="304">
        <f t="shared" ca="1" si="173"/>
        <v>39.146125128858472</v>
      </c>
    </row>
    <row r="379" spans="1:34" x14ac:dyDescent="0.25">
      <c r="A379" s="347">
        <f t="shared" ca="1" si="151"/>
        <v>0.01</v>
      </c>
      <c r="B379" s="304">
        <f t="shared" ca="1" si="152"/>
        <v>3.749999999999964</v>
      </c>
      <c r="D379" s="306">
        <f t="shared" ca="1" si="153"/>
        <v>4.7171436682269201</v>
      </c>
      <c r="E379" s="307">
        <f t="shared" ca="1" si="154"/>
        <v>28.98860736118317</v>
      </c>
      <c r="F379" s="304">
        <f t="shared" ca="1" si="155"/>
        <v>29.369896171548454</v>
      </c>
      <c r="G379" s="306">
        <f t="shared" ca="1" si="156"/>
        <v>26.260193889132236</v>
      </c>
      <c r="H379" s="307">
        <f t="shared" ca="1" si="157"/>
        <v>215.89255527634253</v>
      </c>
      <c r="I379" s="304">
        <f t="shared" ca="1" si="158"/>
        <v>217.48377688196294</v>
      </c>
      <c r="J379" s="306">
        <f t="shared" ca="1" si="159"/>
        <v>52.210756932715441</v>
      </c>
      <c r="K379" s="307">
        <f t="shared" ca="1" si="160"/>
        <v>463.13262359069512</v>
      </c>
      <c r="L379" s="304">
        <f t="shared" ca="1" si="145"/>
        <v>466.06629375389031</v>
      </c>
      <c r="M379" s="306">
        <f t="shared" ca="1" si="161"/>
        <v>1.4497554538292303</v>
      </c>
      <c r="N379" s="304">
        <f t="shared" ca="1" si="162"/>
        <v>83.06486883048818</v>
      </c>
      <c r="P379" s="310">
        <f t="shared" ca="1" si="163"/>
        <v>12</v>
      </c>
      <c r="Q379" s="304">
        <f t="shared" ca="1" si="164"/>
        <v>652.94666666666751</v>
      </c>
      <c r="R379" s="306">
        <f t="shared" ca="1" si="165"/>
        <v>0.32708204996743628</v>
      </c>
      <c r="S379" s="307">
        <f t="shared" ca="1" si="166"/>
        <v>10.838254099917481</v>
      </c>
      <c r="T379" s="304">
        <f t="shared" ca="1" si="146"/>
        <v>106.3232727201905</v>
      </c>
      <c r="U379" s="311">
        <f t="shared" ca="1" si="147"/>
        <v>0</v>
      </c>
      <c r="V379" s="306">
        <f t="shared" ca="1" si="148"/>
        <v>1.1695502822725632</v>
      </c>
      <c r="W379" s="304">
        <f t="shared" ca="1" si="149"/>
        <v>229.91151138726644</v>
      </c>
      <c r="Y379" s="314" t="str">
        <f t="shared" ca="1" si="167"/>
        <v/>
      </c>
      <c r="Z379" s="315" t="str">
        <f t="shared" ca="1" si="168"/>
        <v/>
      </c>
      <c r="AA379" s="316" t="str">
        <f t="shared" ca="1" si="169"/>
        <v/>
      </c>
      <c r="AC379" s="310" t="e">
        <f t="shared" ca="1" si="170"/>
        <v>#N/A</v>
      </c>
      <c r="AD379" s="323" t="e">
        <f t="shared" ca="1" si="171"/>
        <v>#N/A</v>
      </c>
      <c r="AE379" s="324">
        <f t="shared" ca="1" si="150"/>
        <v>463.13262359069512</v>
      </c>
      <c r="AG379" s="306">
        <f t="shared" ca="1" si="172"/>
        <v>29.346021607815487</v>
      </c>
      <c r="AH379" s="304">
        <f t="shared" ca="1" si="173"/>
        <v>39.084311143398068</v>
      </c>
    </row>
    <row r="380" spans="1:34" x14ac:dyDescent="0.25">
      <c r="A380" s="347">
        <f t="shared" ca="1" si="151"/>
        <v>0.01</v>
      </c>
      <c r="B380" s="304">
        <f t="shared" ca="1" si="152"/>
        <v>3.7599999999999638</v>
      </c>
      <c r="D380" s="306">
        <f t="shared" ca="1" si="153"/>
        <v>4.7117958880666011</v>
      </c>
      <c r="E380" s="307">
        <f t="shared" ca="1" si="154"/>
        <v>28.92701993633213</v>
      </c>
      <c r="F380" s="304">
        <f t="shared" ca="1" si="155"/>
        <v>29.308249741118246</v>
      </c>
      <c r="G380" s="306">
        <f t="shared" ca="1" si="156"/>
        <v>26.307311848012901</v>
      </c>
      <c r="H380" s="307">
        <f t="shared" ca="1" si="157"/>
        <v>216.18182547570586</v>
      </c>
      <c r="I380" s="304">
        <f t="shared" ca="1" si="158"/>
        <v>217.77662023889789</v>
      </c>
      <c r="J380" s="306">
        <f t="shared" ca="1" si="159"/>
        <v>52.47359446140117</v>
      </c>
      <c r="K380" s="307">
        <f t="shared" ca="1" si="160"/>
        <v>465.29299549445534</v>
      </c>
      <c r="L380" s="304">
        <f t="shared" ca="1" si="145"/>
        <v>468.24251170937356</v>
      </c>
      <c r="M380" s="306">
        <f t="shared" ca="1" si="161"/>
        <v>1.4497010626072606</v>
      </c>
      <c r="N380" s="304">
        <f t="shared" ca="1" si="162"/>
        <v>83.061752443026762</v>
      </c>
      <c r="P380" s="310">
        <f t="shared" ca="1" si="163"/>
        <v>12</v>
      </c>
      <c r="Q380" s="304">
        <f t="shared" ca="1" si="164"/>
        <v>652.72000000000082</v>
      </c>
      <c r="R380" s="306">
        <f t="shared" ca="1" si="165"/>
        <v>0.32696850532163679</v>
      </c>
      <c r="S380" s="307">
        <f t="shared" ca="1" si="166"/>
        <v>10.834984414864264</v>
      </c>
      <c r="T380" s="304">
        <f t="shared" ca="1" si="146"/>
        <v>106.29119710981844</v>
      </c>
      <c r="U380" s="311">
        <f t="shared" ca="1" si="147"/>
        <v>0</v>
      </c>
      <c r="V380" s="306">
        <f t="shared" ca="1" si="148"/>
        <v>1.1692975070421721</v>
      </c>
      <c r="W380" s="304">
        <f t="shared" ca="1" si="149"/>
        <v>230.48125825644536</v>
      </c>
      <c r="Y380" s="314" t="str">
        <f t="shared" ca="1" si="167"/>
        <v/>
      </c>
      <c r="Z380" s="315" t="str">
        <f t="shared" ca="1" si="168"/>
        <v/>
      </c>
      <c r="AA380" s="316" t="str">
        <f t="shared" ca="1" si="169"/>
        <v/>
      </c>
      <c r="AC380" s="310" t="e">
        <f t="shared" ca="1" si="170"/>
        <v>#N/A</v>
      </c>
      <c r="AD380" s="323" t="e">
        <f t="shared" ca="1" si="171"/>
        <v>#N/A</v>
      </c>
      <c r="AE380" s="324">
        <f t="shared" ca="1" si="150"/>
        <v>465.29299549445534</v>
      </c>
      <c r="AG380" s="306">
        <f t="shared" ca="1" si="172"/>
        <v>29.284303479922208</v>
      </c>
      <c r="AH380" s="304">
        <f t="shared" ca="1" si="173"/>
        <v>39.02252854491357</v>
      </c>
    </row>
    <row r="381" spans="1:34" x14ac:dyDescent="0.25">
      <c r="A381" s="347">
        <f t="shared" ca="1" si="151"/>
        <v>0.01</v>
      </c>
      <c r="B381" s="304">
        <f t="shared" ca="1" si="152"/>
        <v>3.7699999999999636</v>
      </c>
      <c r="D381" s="306">
        <f t="shared" ca="1" si="153"/>
        <v>4.7064433750597106</v>
      </c>
      <c r="E381" s="307">
        <f t="shared" ca="1" si="154"/>
        <v>28.865465064489385</v>
      </c>
      <c r="F381" s="304">
        <f t="shared" ca="1" si="155"/>
        <v>29.246635407032731</v>
      </c>
      <c r="G381" s="306">
        <f t="shared" ca="1" si="156"/>
        <v>26.3543762817635</v>
      </c>
      <c r="H381" s="307">
        <f t="shared" ca="1" si="157"/>
        <v>216.47048012635076</v>
      </c>
      <c r="I381" s="304">
        <f t="shared" ca="1" si="158"/>
        <v>218.06884673270869</v>
      </c>
      <c r="J381" s="306">
        <f t="shared" ca="1" si="159"/>
        <v>52.736902902050055</v>
      </c>
      <c r="K381" s="307">
        <f t="shared" ca="1" si="160"/>
        <v>467.45625702246565</v>
      </c>
      <c r="L381" s="304">
        <f t="shared" ca="1" si="145"/>
        <v>470.42165464310176</v>
      </c>
      <c r="M381" s="306">
        <f t="shared" ca="1" si="161"/>
        <v>1.4496467199838603</v>
      </c>
      <c r="N381" s="304">
        <f t="shared" ca="1" si="162"/>
        <v>83.058638840058251</v>
      </c>
      <c r="P381" s="310">
        <f t="shared" ca="1" si="163"/>
        <v>12</v>
      </c>
      <c r="Q381" s="304">
        <f t="shared" ca="1" si="164"/>
        <v>652.49333333333425</v>
      </c>
      <c r="R381" s="306">
        <f t="shared" ca="1" si="165"/>
        <v>0.32685496067583736</v>
      </c>
      <c r="S381" s="307">
        <f t="shared" ca="1" si="166"/>
        <v>10.831715865257506</v>
      </c>
      <c r="T381" s="304">
        <f t="shared" ca="1" si="146"/>
        <v>106.25913263817614</v>
      </c>
      <c r="U381" s="311">
        <f t="shared" ca="1" si="147"/>
        <v>0</v>
      </c>
      <c r="V381" s="306">
        <f t="shared" ca="1" si="148"/>
        <v>1.1690444471788186</v>
      </c>
      <c r="W381" s="304">
        <f t="shared" ca="1" si="149"/>
        <v>231.05020721941489</v>
      </c>
      <c r="Y381" s="314" t="str">
        <f t="shared" ca="1" si="167"/>
        <v/>
      </c>
      <c r="Z381" s="315" t="str">
        <f t="shared" ca="1" si="168"/>
        <v/>
      </c>
      <c r="AA381" s="316" t="str">
        <f t="shared" ca="1" si="169"/>
        <v/>
      </c>
      <c r="AC381" s="310" t="e">
        <f t="shared" ca="1" si="170"/>
        <v>#N/A</v>
      </c>
      <c r="AD381" s="323" t="e">
        <f t="shared" ca="1" si="171"/>
        <v>#N/A</v>
      </c>
      <c r="AE381" s="324">
        <f t="shared" ca="1" si="150"/>
        <v>467.45625702246565</v>
      </c>
      <c r="AG381" s="306">
        <f t="shared" ca="1" si="172"/>
        <v>29.22261718189959</v>
      </c>
      <c r="AH381" s="304">
        <f t="shared" ca="1" si="173"/>
        <v>38.960777805341394</v>
      </c>
    </row>
    <row r="382" spans="1:34" x14ac:dyDescent="0.25">
      <c r="A382" s="347">
        <f t="shared" ca="1" si="151"/>
        <v>0.01</v>
      </c>
      <c r="B382" s="304">
        <f t="shared" ca="1" si="152"/>
        <v>3.7799999999999634</v>
      </c>
      <c r="D382" s="306">
        <f t="shared" ca="1" si="153"/>
        <v>4.7010862103580644</v>
      </c>
      <c r="E382" s="307">
        <f t="shared" ca="1" si="154"/>
        <v>28.80394320971881</v>
      </c>
      <c r="F382" s="304">
        <f t="shared" ca="1" si="155"/>
        <v>29.185053640278358</v>
      </c>
      <c r="G382" s="306">
        <f t="shared" ca="1" si="156"/>
        <v>26.40138714386708</v>
      </c>
      <c r="H382" s="307">
        <f t="shared" ca="1" si="157"/>
        <v>216.75851955844794</v>
      </c>
      <c r="I382" s="304">
        <f t="shared" ca="1" si="158"/>
        <v>218.36045668639369</v>
      </c>
      <c r="J382" s="306">
        <f t="shared" ca="1" si="159"/>
        <v>53.00068171917821</v>
      </c>
      <c r="K382" s="307">
        <f t="shared" ca="1" si="160"/>
        <v>469.62240202088964</v>
      </c>
      <c r="L382" s="304">
        <f t="shared" ca="1" si="145"/>
        <v>472.60371638675008</v>
      </c>
      <c r="M382" s="306">
        <f t="shared" ca="1" si="161"/>
        <v>1.4495924256974879</v>
      </c>
      <c r="N382" s="304">
        <f t="shared" ca="1" si="162"/>
        <v>83.055528006597442</v>
      </c>
      <c r="P382" s="310">
        <f t="shared" ca="1" si="163"/>
        <v>12</v>
      </c>
      <c r="Q382" s="304">
        <f t="shared" ca="1" si="164"/>
        <v>652.26666666666756</v>
      </c>
      <c r="R382" s="306">
        <f t="shared" ca="1" si="165"/>
        <v>0.32674141603003787</v>
      </c>
      <c r="S382" s="307">
        <f t="shared" ca="1" si="166"/>
        <v>10.828448451097206</v>
      </c>
      <c r="T382" s="304">
        <f t="shared" ca="1" si="146"/>
        <v>106.22707930526359</v>
      </c>
      <c r="U382" s="311">
        <f t="shared" ca="1" si="147"/>
        <v>0</v>
      </c>
      <c r="V382" s="306">
        <f t="shared" ca="1" si="148"/>
        <v>1.1687911035995666</v>
      </c>
      <c r="W382" s="304">
        <f t="shared" ca="1" si="149"/>
        <v>231.61835374489408</v>
      </c>
      <c r="Y382" s="314" t="str">
        <f t="shared" ca="1" si="167"/>
        <v/>
      </c>
      <c r="Z382" s="315" t="str">
        <f t="shared" ca="1" si="168"/>
        <v/>
      </c>
      <c r="AA382" s="316" t="str">
        <f t="shared" ca="1" si="169"/>
        <v/>
      </c>
      <c r="AC382" s="310" t="e">
        <f t="shared" ca="1" si="170"/>
        <v>#N/A</v>
      </c>
      <c r="AD382" s="323" t="e">
        <f t="shared" ca="1" si="171"/>
        <v>#N/A</v>
      </c>
      <c r="AE382" s="324">
        <f t="shared" ca="1" si="150"/>
        <v>469.62240202088964</v>
      </c>
      <c r="AG382" s="306">
        <f t="shared" ca="1" si="172"/>
        <v>29.160963183591416</v>
      </c>
      <c r="AH382" s="304">
        <f t="shared" ca="1" si="173"/>
        <v>38.899059394291378</v>
      </c>
    </row>
    <row r="383" spans="1:34" x14ac:dyDescent="0.25">
      <c r="A383" s="347">
        <f t="shared" ca="1" si="151"/>
        <v>0.01</v>
      </c>
      <c r="B383" s="304">
        <f t="shared" ca="1" si="152"/>
        <v>3.7899999999999632</v>
      </c>
      <c r="D383" s="306">
        <f t="shared" ca="1" si="153"/>
        <v>4.6957244748038232</v>
      </c>
      <c r="E383" s="307">
        <f t="shared" ca="1" si="154"/>
        <v>28.74245483377134</v>
      </c>
      <c r="F383" s="304">
        <f t="shared" ca="1" si="155"/>
        <v>29.123504909516935</v>
      </c>
      <c r="G383" s="306">
        <f t="shared" ca="1" si="156"/>
        <v>26.448344388615119</v>
      </c>
      <c r="H383" s="307">
        <f t="shared" ca="1" si="157"/>
        <v>217.04594410678567</v>
      </c>
      <c r="I383" s="304">
        <f t="shared" ca="1" si="158"/>
        <v>218.65145042762629</v>
      </c>
      <c r="J383" s="306">
        <f t="shared" ca="1" si="159"/>
        <v>53.264930376840624</v>
      </c>
      <c r="K383" s="307">
        <f t="shared" ca="1" si="160"/>
        <v>471.79142433921578</v>
      </c>
      <c r="L383" s="304">
        <f t="shared" ca="1" si="145"/>
        <v>474.78869077524968</v>
      </c>
      <c r="M383" s="306">
        <f t="shared" ca="1" si="161"/>
        <v>1.4495381794880211</v>
      </c>
      <c r="N383" s="304">
        <f t="shared" ca="1" si="162"/>
        <v>83.052419927740402</v>
      </c>
      <c r="P383" s="310">
        <f t="shared" ca="1" si="163"/>
        <v>12</v>
      </c>
      <c r="Q383" s="304">
        <f t="shared" ca="1" si="164"/>
        <v>652.04000000000087</v>
      </c>
      <c r="R383" s="306">
        <f t="shared" ca="1" si="165"/>
        <v>0.32662787138423838</v>
      </c>
      <c r="S383" s="307">
        <f t="shared" ca="1" si="166"/>
        <v>10.825182172383363</v>
      </c>
      <c r="T383" s="304">
        <f t="shared" ca="1" si="146"/>
        <v>106.19503711108079</v>
      </c>
      <c r="U383" s="311">
        <f t="shared" ca="1" si="147"/>
        <v>0</v>
      </c>
      <c r="V383" s="306">
        <f t="shared" ca="1" si="148"/>
        <v>1.1685374772206392</v>
      </c>
      <c r="W383" s="304">
        <f t="shared" ca="1" si="149"/>
        <v>232.18569333270025</v>
      </c>
      <c r="Y383" s="314" t="str">
        <f t="shared" ca="1" si="167"/>
        <v/>
      </c>
      <c r="Z383" s="315" t="str">
        <f t="shared" ca="1" si="168"/>
        <v/>
      </c>
      <c r="AA383" s="316" t="str">
        <f t="shared" ca="1" si="169"/>
        <v/>
      </c>
      <c r="AC383" s="310" t="e">
        <f t="shared" ca="1" si="170"/>
        <v>#N/A</v>
      </c>
      <c r="AD383" s="323" t="e">
        <f t="shared" ca="1" si="171"/>
        <v>#N/A</v>
      </c>
      <c r="AE383" s="324">
        <f t="shared" ca="1" si="150"/>
        <v>471.79142433921578</v>
      </c>
      <c r="AG383" s="306">
        <f t="shared" ca="1" si="172"/>
        <v>29.099341952512017</v>
      </c>
      <c r="AH383" s="304">
        <f t="shared" ca="1" si="173"/>
        <v>38.837373779044981</v>
      </c>
    </row>
    <row r="384" spans="1:34" x14ac:dyDescent="0.25">
      <c r="A384" s="347">
        <f t="shared" ca="1" si="151"/>
        <v>0.01</v>
      </c>
      <c r="B384" s="304">
        <f t="shared" ca="1" si="152"/>
        <v>3.799999999999963</v>
      </c>
      <c r="D384" s="306">
        <f t="shared" ca="1" si="153"/>
        <v>4.6903582489294067</v>
      </c>
      <c r="E384" s="307">
        <f t="shared" ca="1" si="154"/>
        <v>28.681000396083306</v>
      </c>
      <c r="F384" s="304">
        <f t="shared" ca="1" si="155"/>
        <v>29.061989681083965</v>
      </c>
      <c r="G384" s="306">
        <f t="shared" ca="1" si="156"/>
        <v>26.495247971104412</v>
      </c>
      <c r="H384" s="307">
        <f t="shared" ca="1" si="157"/>
        <v>217.33275411074649</v>
      </c>
      <c r="I384" s="304">
        <f t="shared" ca="1" si="158"/>
        <v>218.94182828873178</v>
      </c>
      <c r="J384" s="306">
        <f t="shared" ca="1" si="159"/>
        <v>53.52964833863922</v>
      </c>
      <c r="K384" s="307">
        <f t="shared" ca="1" si="160"/>
        <v>473.96331783030342</v>
      </c>
      <c r="L384" s="304">
        <f t="shared" ca="1" si="145"/>
        <v>476.97657164683426</v>
      </c>
      <c r="M384" s="306">
        <f t="shared" ca="1" si="161"/>
        <v>1.4494839810967475</v>
      </c>
      <c r="N384" s="304">
        <f t="shared" ca="1" si="162"/>
        <v>83.049314588664032</v>
      </c>
      <c r="P384" s="310">
        <f t="shared" ca="1" si="163"/>
        <v>12</v>
      </c>
      <c r="Q384" s="304">
        <f t="shared" ca="1" si="164"/>
        <v>651.81333333333419</v>
      </c>
      <c r="R384" s="306">
        <f t="shared" ca="1" si="165"/>
        <v>0.32651432673843889</v>
      </c>
      <c r="S384" s="307">
        <f t="shared" ca="1" si="166"/>
        <v>10.821917029115978</v>
      </c>
      <c r="T384" s="304">
        <f t="shared" ca="1" si="146"/>
        <v>106.16300605562775</v>
      </c>
      <c r="U384" s="311">
        <f t="shared" ca="1" si="147"/>
        <v>0</v>
      </c>
      <c r="V384" s="306">
        <f t="shared" ca="1" si="148"/>
        <v>1.1682835689574098</v>
      </c>
      <c r="W384" s="304">
        <f t="shared" ca="1" si="149"/>
        <v>232.7522215137231</v>
      </c>
      <c r="Y384" s="314" t="str">
        <f t="shared" ca="1" si="167"/>
        <v/>
      </c>
      <c r="Z384" s="315" t="str">
        <f t="shared" ca="1" si="168"/>
        <v/>
      </c>
      <c r="AA384" s="316" t="str">
        <f t="shared" ca="1" si="169"/>
        <v/>
      </c>
      <c r="AC384" s="310" t="e">
        <f t="shared" ca="1" si="170"/>
        <v>#N/A</v>
      </c>
      <c r="AD384" s="323" t="e">
        <f t="shared" ca="1" si="171"/>
        <v>#N/A</v>
      </c>
      <c r="AE384" s="324">
        <f t="shared" ca="1" si="150"/>
        <v>473.96331783030342</v>
      </c>
      <c r="AG384" s="306">
        <f t="shared" ca="1" si="172"/>
        <v>29.037753953844604</v>
      </c>
      <c r="AH384" s="304">
        <f t="shared" ca="1" si="173"/>
        <v>38.775721424553609</v>
      </c>
    </row>
    <row r="385" spans="1:34" x14ac:dyDescent="0.25">
      <c r="A385" s="347">
        <f t="shared" ca="1" si="151"/>
        <v>0.01</v>
      </c>
      <c r="B385" s="304">
        <f t="shared" ca="1" si="152"/>
        <v>3.8099999999999627</v>
      </c>
      <c r="D385" s="306">
        <f t="shared" ca="1" si="153"/>
        <v>4.6785359004971925</v>
      </c>
      <c r="E385" s="307">
        <f t="shared" ca="1" si="154"/>
        <v>28.566658847276045</v>
      </c>
      <c r="F385" s="304">
        <f t="shared" ca="1" si="155"/>
        <v>28.947239866158153</v>
      </c>
      <c r="G385" s="306">
        <f t="shared" ca="1" si="156"/>
        <v>26.542033330109383</v>
      </c>
      <c r="H385" s="307">
        <f t="shared" ca="1" si="157"/>
        <v>217.61842069921926</v>
      </c>
      <c r="I385" s="304">
        <f t="shared" ca="1" si="158"/>
        <v>219.23105747343149</v>
      </c>
      <c r="J385" s="306">
        <f t="shared" ca="1" si="159"/>
        <v>53.794834745145288</v>
      </c>
      <c r="K385" s="307">
        <f t="shared" ca="1" si="160"/>
        <v>476.13807370435325</v>
      </c>
      <c r="L385" s="304">
        <f t="shared" ca="1" si="145"/>
        <v>479.1673501775237</v>
      </c>
      <c r="M385" s="306">
        <f t="shared" ca="1" si="161"/>
        <v>1.4494298301346671</v>
      </c>
      <c r="N385" s="304">
        <f t="shared" ca="1" si="162"/>
        <v>83.046211967080254</v>
      </c>
      <c r="P385" s="310">
        <f t="shared" ca="1" si="163"/>
        <v>13</v>
      </c>
      <c r="Q385" s="304">
        <f t="shared" ca="1" si="164"/>
        <v>651.01000000000511</v>
      </c>
      <c r="R385" s="306">
        <f t="shared" ca="1" si="165"/>
        <v>0.32611191115553406</v>
      </c>
      <c r="S385" s="307">
        <f t="shared" ca="1" si="166"/>
        <v>10.818655910004424</v>
      </c>
      <c r="T385" s="304">
        <f t="shared" ca="1" si="146"/>
        <v>106.1310144771434</v>
      </c>
      <c r="U385" s="311">
        <f t="shared" ca="1" si="147"/>
        <v>0</v>
      </c>
      <c r="V385" s="306">
        <f t="shared" ca="1" si="148"/>
        <v>1.1680293800336428</v>
      </c>
      <c r="W385" s="304">
        <f t="shared" ca="1" si="149"/>
        <v>233.31679913549411</v>
      </c>
      <c r="Y385" s="314" t="str">
        <f t="shared" ca="1" si="167"/>
        <v/>
      </c>
      <c r="Z385" s="315" t="str">
        <f t="shared" ca="1" si="168"/>
        <v/>
      </c>
      <c r="AA385" s="316" t="str">
        <f t="shared" ca="1" si="169"/>
        <v/>
      </c>
      <c r="AC385" s="310" t="e">
        <f t="shared" ca="1" si="170"/>
        <v>#N/A</v>
      </c>
      <c r="AD385" s="323" t="e">
        <f t="shared" ca="1" si="171"/>
        <v>#N/A</v>
      </c>
      <c r="AE385" s="324">
        <f t="shared" ca="1" si="150"/>
        <v>476.13807370435325</v>
      </c>
      <c r="AG385" s="306">
        <f t="shared" ca="1" si="172"/>
        <v>28.922886327116338</v>
      </c>
      <c r="AH385" s="304">
        <f t="shared" ca="1" si="173"/>
        <v>38.66078947011367</v>
      </c>
    </row>
    <row r="386" spans="1:34" x14ac:dyDescent="0.25">
      <c r="A386" s="347">
        <f t="shared" ca="1" si="151"/>
        <v>0.01</v>
      </c>
      <c r="B386" s="304">
        <f t="shared" ca="1" si="152"/>
        <v>3.8199999999999625</v>
      </c>
      <c r="D386" s="306">
        <f t="shared" ca="1" si="153"/>
        <v>4.6602545491673562</v>
      </c>
      <c r="E386" s="307">
        <f t="shared" ca="1" si="154"/>
        <v>28.399477866026487</v>
      </c>
      <c r="F386" s="304">
        <f t="shared" ca="1" si="155"/>
        <v>28.779303596959455</v>
      </c>
      <c r="G386" s="306">
        <f t="shared" ca="1" si="156"/>
        <v>26.588635875601057</v>
      </c>
      <c r="H386" s="307">
        <f t="shared" ca="1" si="157"/>
        <v>217.90241547787952</v>
      </c>
      <c r="I386" s="304">
        <f t="shared" ca="1" si="158"/>
        <v>219.51860565523762</v>
      </c>
      <c r="J386" s="306">
        <f t="shared" ca="1" si="159"/>
        <v>54.060488091173838</v>
      </c>
      <c r="K386" s="307">
        <f t="shared" ca="1" si="160"/>
        <v>478.31567788523876</v>
      </c>
      <c r="L386" s="304">
        <f t="shared" ca="1" si="145"/>
        <v>481.36101221793132</v>
      </c>
      <c r="M386" s="306">
        <f t="shared" ca="1" si="161"/>
        <v>1.4493757260836897</v>
      </c>
      <c r="N386" s="304">
        <f t="shared" ca="1" si="162"/>
        <v>83.043112033304681</v>
      </c>
      <c r="P386" s="310">
        <f t="shared" ca="1" si="163"/>
        <v>13</v>
      </c>
      <c r="Q386" s="304">
        <f t="shared" ca="1" si="164"/>
        <v>649.63000000000523</v>
      </c>
      <c r="R386" s="306">
        <f t="shared" ca="1" si="165"/>
        <v>0.32542062463551963</v>
      </c>
      <c r="S386" s="307">
        <f t="shared" ca="1" si="166"/>
        <v>10.815401703758068</v>
      </c>
      <c r="T386" s="304">
        <f t="shared" ca="1" si="146"/>
        <v>106.09909071386666</v>
      </c>
      <c r="U386" s="311">
        <f t="shared" ca="1" si="147"/>
        <v>0</v>
      </c>
      <c r="V386" s="306">
        <f t="shared" ca="1" si="148"/>
        <v>1.1677749122900596</v>
      </c>
      <c r="W386" s="304">
        <f t="shared" ca="1" si="149"/>
        <v>233.87828321224794</v>
      </c>
      <c r="Y386" s="314" t="str">
        <f t="shared" ca="1" si="167"/>
        <v/>
      </c>
      <c r="Z386" s="315" t="str">
        <f t="shared" ca="1" si="168"/>
        <v/>
      </c>
      <c r="AA386" s="316" t="str">
        <f t="shared" ca="1" si="169"/>
        <v/>
      </c>
      <c r="AC386" s="310" t="e">
        <f t="shared" ca="1" si="170"/>
        <v>#N/A</v>
      </c>
      <c r="AD386" s="323" t="e">
        <f t="shared" ca="1" si="171"/>
        <v>#N/A</v>
      </c>
      <c r="AE386" s="324">
        <f t="shared" ca="1" si="150"/>
        <v>478.31567788523876</v>
      </c>
      <c r="AG386" s="306">
        <f t="shared" ca="1" si="172"/>
        <v>28.754786051341668</v>
      </c>
      <c r="AH386" s="304">
        <f t="shared" ca="1" si="173"/>
        <v>38.492624894353504</v>
      </c>
    </row>
    <row r="387" spans="1:34" x14ac:dyDescent="0.25">
      <c r="A387" s="347">
        <f t="shared" ca="1" si="151"/>
        <v>0.01</v>
      </c>
      <c r="B387" s="304">
        <f t="shared" ca="1" si="152"/>
        <v>3.8299999999999623</v>
      </c>
      <c r="D387" s="306">
        <f t="shared" ca="1" si="153"/>
        <v>4.641972747455009</v>
      </c>
      <c r="E387" s="307">
        <f t="shared" ca="1" si="154"/>
        <v>28.232458401603516</v>
      </c>
      <c r="F387" s="304">
        <f t="shared" ca="1" si="155"/>
        <v>28.611529466045464</v>
      </c>
      <c r="G387" s="306">
        <f t="shared" ca="1" si="156"/>
        <v>26.635055603075607</v>
      </c>
      <c r="H387" s="307">
        <f t="shared" ca="1" si="157"/>
        <v>218.18474006189555</v>
      </c>
      <c r="I387" s="304">
        <f t="shared" ca="1" si="158"/>
        <v>219.80447443775083</v>
      </c>
      <c r="J387" s="306">
        <f t="shared" ca="1" si="159"/>
        <v>54.32660654856722</v>
      </c>
      <c r="K387" s="307">
        <f t="shared" ca="1" si="160"/>
        <v>480.49611366293766</v>
      </c>
      <c r="L387" s="304">
        <f t="shared" ca="1" si="145"/>
        <v>483.55754096515705</v>
      </c>
      <c r="M387" s="306">
        <f t="shared" ca="1" si="161"/>
        <v>1.4493216684289982</v>
      </c>
      <c r="N387" s="304">
        <f t="shared" ca="1" si="162"/>
        <v>83.040014757840481</v>
      </c>
      <c r="P387" s="310">
        <f t="shared" ca="1" si="163"/>
        <v>13</v>
      </c>
      <c r="Q387" s="304">
        <f t="shared" ca="1" si="164"/>
        <v>648.25000000000523</v>
      </c>
      <c r="R387" s="306">
        <f t="shared" ca="1" si="165"/>
        <v>0.32472933811550514</v>
      </c>
      <c r="S387" s="307">
        <f t="shared" ca="1" si="166"/>
        <v>10.812154410376912</v>
      </c>
      <c r="T387" s="304">
        <f t="shared" ca="1" si="146"/>
        <v>106.06723476579752</v>
      </c>
      <c r="U387" s="311">
        <f t="shared" ca="1" si="147"/>
        <v>0</v>
      </c>
      <c r="V387" s="306">
        <f t="shared" ca="1" si="148"/>
        <v>1.1675201678738214</v>
      </c>
      <c r="W387" s="304">
        <f t="shared" ca="1" si="149"/>
        <v>234.43666489514106</v>
      </c>
      <c r="Y387" s="314" t="str">
        <f t="shared" ca="1" si="167"/>
        <v/>
      </c>
      <c r="Z387" s="315" t="str">
        <f t="shared" ca="1" si="168"/>
        <v/>
      </c>
      <c r="AA387" s="316" t="str">
        <f t="shared" ca="1" si="169"/>
        <v/>
      </c>
      <c r="AC387" s="310" t="e">
        <f t="shared" ca="1" si="170"/>
        <v>#N/A</v>
      </c>
      <c r="AD387" s="323" t="e">
        <f t="shared" ca="1" si="171"/>
        <v>#N/A</v>
      </c>
      <c r="AE387" s="324">
        <f t="shared" ca="1" si="150"/>
        <v>480.49611366293766</v>
      </c>
      <c r="AG387" s="306">
        <f t="shared" ca="1" si="172"/>
        <v>28.586846135358449</v>
      </c>
      <c r="AH387" s="304">
        <f t="shared" ca="1" si="173"/>
        <v>38.324620705570581</v>
      </c>
    </row>
    <row r="388" spans="1:34" x14ac:dyDescent="0.25">
      <c r="A388" s="347">
        <f t="shared" ca="1" si="151"/>
        <v>0.01</v>
      </c>
      <c r="B388" s="304">
        <f t="shared" ca="1" si="152"/>
        <v>3.8399999999999621</v>
      </c>
      <c r="D388" s="306">
        <f t="shared" ca="1" si="153"/>
        <v>4.6236907201570947</v>
      </c>
      <c r="E388" s="307">
        <f t="shared" ca="1" si="154"/>
        <v>28.065601723451415</v>
      </c>
      <c r="F388" s="304">
        <f t="shared" ca="1" si="155"/>
        <v>28.443918787239319</v>
      </c>
      <c r="G388" s="306">
        <f t="shared" ca="1" si="156"/>
        <v>26.681292510277178</v>
      </c>
      <c r="H388" s="307">
        <f t="shared" ca="1" si="157"/>
        <v>218.46539607913007</v>
      </c>
      <c r="I388" s="304">
        <f t="shared" ca="1" si="158"/>
        <v>220.08866543743264</v>
      </c>
      <c r="J388" s="306">
        <f t="shared" ca="1" si="159"/>
        <v>54.593188289133984</v>
      </c>
      <c r="K388" s="307">
        <f t="shared" ca="1" si="160"/>
        <v>482.67936434364276</v>
      </c>
      <c r="L388" s="304">
        <f t="shared" ref="L388:L451" ca="1" si="174">SQRT(pos_x^2+pos_z^2)</f>
        <v>485.75691963239791</v>
      </c>
      <c r="M388" s="306">
        <f t="shared" ca="1" si="161"/>
        <v>1.449267656659013</v>
      </c>
      <c r="N388" s="304">
        <f t="shared" ca="1" si="162"/>
        <v>83.036920111376304</v>
      </c>
      <c r="P388" s="310">
        <f t="shared" ca="1" si="163"/>
        <v>13</v>
      </c>
      <c r="Q388" s="304">
        <f t="shared" ca="1" si="164"/>
        <v>646.87000000000523</v>
      </c>
      <c r="R388" s="306">
        <f t="shared" ca="1" si="165"/>
        <v>0.32403805159549065</v>
      </c>
      <c r="S388" s="307">
        <f t="shared" ca="1" si="166"/>
        <v>10.808914029860958</v>
      </c>
      <c r="T388" s="304">
        <f t="shared" ref="T388:T451" ca="1" si="175">m*g</f>
        <v>106.035446632936</v>
      </c>
      <c r="U388" s="311">
        <f t="shared" ref="U388:U451" ca="1" si="176">IF(pos_xz&lt;L_rampe,Poids*COS(Beta),0)</f>
        <v>0</v>
      </c>
      <c r="V388" s="306">
        <f t="shared" ref="V388:V451" ca="1" si="177">Rho_moyen*(20000-Alt_rampe-pos_z)/(20000+Alt_rampe+pos_z)</f>
        <v>1.1672651489286827</v>
      </c>
      <c r="W388" s="304">
        <f t="shared" ref="W388:W451" ca="1" si="178">1/2*Rho*Sref*Cx*vit_xz^2</f>
        <v>234.99193547978422</v>
      </c>
      <c r="Y388" s="314" t="str">
        <f t="shared" ca="1" si="167"/>
        <v/>
      </c>
      <c r="Z388" s="315" t="str">
        <f t="shared" ca="1" si="168"/>
        <v/>
      </c>
      <c r="AA388" s="316" t="str">
        <f t="shared" ca="1" si="169"/>
        <v/>
      </c>
      <c r="AC388" s="310" t="e">
        <f t="shared" ca="1" si="170"/>
        <v>#N/A</v>
      </c>
      <c r="AD388" s="323" t="e">
        <f t="shared" ca="1" si="171"/>
        <v>#N/A</v>
      </c>
      <c r="AE388" s="324">
        <f t="shared" ref="AE388:AE451" ca="1" si="179">IF(t&lt;T_para, pos_z, NA())</f>
        <v>482.67936434364276</v>
      </c>
      <c r="AG388" s="306">
        <f t="shared" ca="1" si="172"/>
        <v>28.41906786526226</v>
      </c>
      <c r="AH388" s="304">
        <f t="shared" ca="1" si="173"/>
        <v>38.156778189322836</v>
      </c>
    </row>
    <row r="389" spans="1:34" x14ac:dyDescent="0.25">
      <c r="A389" s="347">
        <f t="shared" ref="A389:A452" ca="1" si="180">IF(B388+0.01&lt;=T_ini+ROUNDUP(Temps_fin_propu,0), 0.01, IF(K388&gt;0, 0.1, 0.0001))</f>
        <v>0.01</v>
      </c>
      <c r="B389" s="304">
        <f t="shared" ref="B389:B452" ca="1" si="181">B388+pas</f>
        <v>3.8499999999999619</v>
      </c>
      <c r="D389" s="306">
        <f t="shared" ref="D389:D452" ca="1" si="182">IF(AND(L388&lt;L_rampe,Poussee&lt;Poids*SIN(M388)),0,(-W388+Poussee)/m*COS(M388)-U388/m*SIN(M388))</f>
        <v>4.6054086903264961</v>
      </c>
      <c r="E389" s="307">
        <f t="shared" ref="E389:E452" ca="1" si="183">IF(AND(L388&lt;L_rampe,Poussee&lt;Poids*SIN(M388)),0,(-W388+Poussee)/m*SIN(M388)+U388/m*COS(M388)-Poids/m)</f>
        <v>27.898909088677215</v>
      </c>
      <c r="F389" s="304">
        <f t="shared" ref="F389:F452" ca="1" si="184">SQRT(acc_x^2+acc_z^2)</f>
        <v>28.276472862491371</v>
      </c>
      <c r="G389" s="306">
        <f t="shared" ref="G389:G452" ca="1" si="185">G388+acc_x*pas</f>
        <v>26.727346597180443</v>
      </c>
      <c r="H389" s="307">
        <f t="shared" ref="H389:H452" ca="1" si="186">H388+acc_z*pas</f>
        <v>218.74438517001684</v>
      </c>
      <c r="I389" s="304">
        <f t="shared" ref="I389:I452" ca="1" si="187">SQRT(vit_x^2+vit_z^2)</f>
        <v>220.37118028348104</v>
      </c>
      <c r="J389" s="306">
        <f t="shared" ref="J389:J452" ca="1" si="188">J388+0.5*(vit_x+G388)*pas*(K388&gt;=0)</f>
        <v>54.860231484671274</v>
      </c>
      <c r="K389" s="307">
        <f t="shared" ref="K389:K452" ca="1" si="189">K388+0.5*(vit_z+H388)*pas</f>
        <v>484.86541324988849</v>
      </c>
      <c r="L389" s="304">
        <f t="shared" ca="1" si="174"/>
        <v>487.95913144907627</v>
      </c>
      <c r="M389" s="306">
        <f t="shared" ref="M389:M452" ca="1" si="190">IF(AND(L388&gt;L_rampe,G389&gt;0),ATAN2(G389,H389),$M$4)</f>
        <v>1.4492136902653538</v>
      </c>
      <c r="N389" s="304">
        <f t="shared" ref="N389:N452" ca="1" si="191">DEGREES(Beta)</f>
        <v>83.033828064784089</v>
      </c>
      <c r="P389" s="310">
        <f t="shared" ref="P389:P452" ca="1" si="192">MATCH(t-pas/2-T_ini,CdP_t)</f>
        <v>13</v>
      </c>
      <c r="Q389" s="304">
        <f t="shared" ref="Q389:Q452" ca="1" si="193">(INDEX(CdP,2,i_P+1)-INDEX(CdP,2,i_P+0))/(INDEX(CdP,1,i_P+1)-INDEX(CdP,1,i_P+0))*(t-pas/2-T_ini-INDEX(CdP,1,i_P+0))+INDEX(CdP,2,i_P+0)</f>
        <v>645.49000000000524</v>
      </c>
      <c r="R389" s="306">
        <f t="shared" ref="R389:R452" ca="1" si="194">Poussee/(g*ISP)</f>
        <v>0.32334676507547616</v>
      </c>
      <c r="S389" s="307">
        <f t="shared" ref="S389:S452" ca="1" si="195">S388-Débit*pas</f>
        <v>10.805680562210203</v>
      </c>
      <c r="T389" s="304">
        <f t="shared" ca="1" si="175"/>
        <v>106.00372631528209</v>
      </c>
      <c r="U389" s="311">
        <f t="shared" ca="1" si="176"/>
        <v>0</v>
      </c>
      <c r="V389" s="306">
        <f t="shared" ca="1" si="177"/>
        <v>1.1670098575949703</v>
      </c>
      <c r="W389" s="304">
        <f t="shared" ca="1" si="178"/>
        <v>235.54408640571262</v>
      </c>
      <c r="Y389" s="314" t="str">
        <f t="shared" ref="Y389:Y452" ca="1" si="196">IF(AND(pos_z&lt;=0,K388&gt;0),"Impact balistique","") &amp; IF(AND(H390&lt;0,vit_z&gt;=0),"Apogée","") &amp; IF(AND(Poussee=0,Q388&gt;0),"Fin de propulsion","") &amp; IF(AND(L390&gt;L_rampe,pos_xz&lt;=L_rampe),"Sortie de rampe","")</f>
        <v/>
      </c>
      <c r="Z389" s="315" t="str">
        <f t="shared" ref="Z389:Z452" ca="1" si="197">IF(ABS(t-T_para)&lt;pas/2,"Para","")</f>
        <v/>
      </c>
      <c r="AA389" s="316" t="str">
        <f t="shared" ref="AA389:AA452" ca="1" si="198">IF(ABS(t-T_satellite)&lt;pas/2,"Satellite","")</f>
        <v/>
      </c>
      <c r="AC389" s="310" t="e">
        <f t="shared" ref="AC389:AC452" ca="1" si="199">IF(ABS(t-ROUND(t,0))&lt;0.001,t,NA())</f>
        <v>#N/A</v>
      </c>
      <c r="AD389" s="323" t="e">
        <f t="shared" ref="AD389:AD452" ca="1" si="200">IF(ABS(t-ROUND(t,0))&lt;0.001,pos_x,NA())</f>
        <v>#N/A</v>
      </c>
      <c r="AE389" s="324">
        <f t="shared" ca="1" si="179"/>
        <v>484.86541324988849</v>
      </c>
      <c r="AG389" s="306">
        <f t="shared" ref="AG389:AG452" ca="1" si="201">IF(AND(L388&lt;L_rampe,Poussee&lt;Poids*SIN(M388)),0,(-W388+Poussee)/m-Poids*SIN(M388)/m)</f>
        <v>28.251452514700727</v>
      </c>
      <c r="AH389" s="304">
        <f t="shared" ref="AH389:AH452" ca="1" si="202">IF(AND(L388&lt;L_rampe,Poussee&lt;Poids*SIN(M388)), g*SIN(M388), (-W388+Poussee)/m)</f>
        <v>37.989098618722949</v>
      </c>
    </row>
    <row r="390" spans="1:34" x14ac:dyDescent="0.25">
      <c r="A390" s="347">
        <f t="shared" ca="1" si="180"/>
        <v>0.01</v>
      </c>
      <c r="B390" s="304">
        <f t="shared" ca="1" si="181"/>
        <v>3.8599999999999617</v>
      </c>
      <c r="D390" s="306">
        <f t="shared" ca="1" si="182"/>
        <v>4.5871268792757727</v>
      </c>
      <c r="E390" s="307">
        <f t="shared" ca="1" si="183"/>
        <v>27.732381742072761</v>
      </c>
      <c r="F390" s="304">
        <f t="shared" ca="1" si="184"/>
        <v>28.109192981916518</v>
      </c>
      <c r="G390" s="306">
        <f t="shared" ca="1" si="185"/>
        <v>26.773217865973201</v>
      </c>
      <c r="H390" s="307">
        <f t="shared" ca="1" si="186"/>
        <v>219.02170898743756</v>
      </c>
      <c r="I390" s="304">
        <f t="shared" ca="1" si="187"/>
        <v>220.65202061770623</v>
      </c>
      <c r="J390" s="306">
        <f t="shared" ca="1" si="188"/>
        <v>55.127734306987044</v>
      </c>
      <c r="K390" s="307">
        <f t="shared" ca="1" si="189"/>
        <v>487.05424372067574</v>
      </c>
      <c r="L390" s="304">
        <f t="shared" ca="1" si="174"/>
        <v>490.16415966096622</v>
      </c>
      <c r="M390" s="306">
        <f t="shared" ca="1" si="190"/>
        <v>1.4491597687428039</v>
      </c>
      <c r="N390" s="304">
        <f t="shared" ca="1" si="191"/>
        <v>83.030738589117064</v>
      </c>
      <c r="P390" s="310">
        <f t="shared" ca="1" si="192"/>
        <v>13</v>
      </c>
      <c r="Q390" s="304">
        <f t="shared" ca="1" si="193"/>
        <v>644.11000000000524</v>
      </c>
      <c r="R390" s="306">
        <f t="shared" ca="1" si="194"/>
        <v>0.32265547855546167</v>
      </c>
      <c r="S390" s="307">
        <f t="shared" ca="1" si="195"/>
        <v>10.802454007424648</v>
      </c>
      <c r="T390" s="304">
        <f t="shared" ca="1" si="175"/>
        <v>105.9720738128358</v>
      </c>
      <c r="U390" s="311">
        <f t="shared" ca="1" si="176"/>
        <v>0</v>
      </c>
      <c r="V390" s="306">
        <f t="shared" ca="1" si="177"/>
        <v>1.1667542960095694</v>
      </c>
      <c r="W390" s="304">
        <f t="shared" ca="1" si="178"/>
        <v>236.0931092558539</v>
      </c>
      <c r="Y390" s="314" t="str">
        <f t="shared" ca="1" si="196"/>
        <v/>
      </c>
      <c r="Z390" s="315" t="str">
        <f t="shared" ca="1" si="197"/>
        <v/>
      </c>
      <c r="AA390" s="316" t="str">
        <f t="shared" ca="1" si="198"/>
        <v/>
      </c>
      <c r="AC390" s="310" t="e">
        <f t="shared" ca="1" si="199"/>
        <v>#N/A</v>
      </c>
      <c r="AD390" s="323" t="e">
        <f t="shared" ca="1" si="200"/>
        <v>#N/A</v>
      </c>
      <c r="AE390" s="324">
        <f t="shared" ca="1" si="179"/>
        <v>487.05424372067574</v>
      </c>
      <c r="AG390" s="306">
        <f t="shared" ca="1" si="201"/>
        <v>28.084001344895789</v>
      </c>
      <c r="AH390" s="304">
        <f t="shared" ca="1" si="202"/>
        <v>37.821583254460577</v>
      </c>
    </row>
    <row r="391" spans="1:34" x14ac:dyDescent="0.25">
      <c r="A391" s="347">
        <f t="shared" ca="1" si="180"/>
        <v>0.01</v>
      </c>
      <c r="B391" s="304">
        <f t="shared" ca="1" si="181"/>
        <v>3.8699999999999615</v>
      </c>
      <c r="D391" s="306">
        <f t="shared" ca="1" si="182"/>
        <v>4.5688455065808444</v>
      </c>
      <c r="E391" s="307">
        <f t="shared" ca="1" si="183"/>
        <v>27.566020916137184</v>
      </c>
      <c r="F391" s="304">
        <f t="shared" ca="1" si="184"/>
        <v>27.94208042383238</v>
      </c>
      <c r="G391" s="306">
        <f t="shared" ca="1" si="185"/>
        <v>26.818906321039009</v>
      </c>
      <c r="H391" s="307">
        <f t="shared" ca="1" si="186"/>
        <v>219.29736919659894</v>
      </c>
      <c r="I391" s="304">
        <f t="shared" ca="1" si="187"/>
        <v>220.93118809440665</v>
      </c>
      <c r="J391" s="306">
        <f t="shared" ca="1" si="188"/>
        <v>55.395694927922108</v>
      </c>
      <c r="K391" s="307">
        <f t="shared" ca="1" si="189"/>
        <v>489.2458391115959</v>
      </c>
      <c r="L391" s="304">
        <f t="shared" ca="1" si="174"/>
        <v>492.37198753031942</v>
      </c>
      <c r="M391" s="306">
        <f t="shared" ca="1" si="190"/>
        <v>1.4491058915892738</v>
      </c>
      <c r="N391" s="304">
        <f t="shared" ca="1" si="191"/>
        <v>83.027651655607613</v>
      </c>
      <c r="P391" s="310">
        <f t="shared" ca="1" si="192"/>
        <v>13</v>
      </c>
      <c r="Q391" s="304">
        <f t="shared" ca="1" si="193"/>
        <v>642.73000000000536</v>
      </c>
      <c r="R391" s="306">
        <f t="shared" ca="1" si="194"/>
        <v>0.32196419203544724</v>
      </c>
      <c r="S391" s="307">
        <f t="shared" ca="1" si="195"/>
        <v>10.799234365504294</v>
      </c>
      <c r="T391" s="304">
        <f t="shared" ca="1" si="175"/>
        <v>105.94048912559713</v>
      </c>
      <c r="U391" s="311">
        <f t="shared" ca="1" si="176"/>
        <v>0</v>
      </c>
      <c r="V391" s="306">
        <f t="shared" ca="1" si="177"/>
        <v>1.1664984663059039</v>
      </c>
      <c r="W391" s="304">
        <f t="shared" ca="1" si="178"/>
        <v>236.63899575598916</v>
      </c>
      <c r="Y391" s="314" t="str">
        <f t="shared" ca="1" si="196"/>
        <v/>
      </c>
      <c r="Z391" s="315" t="str">
        <f t="shared" ca="1" si="197"/>
        <v/>
      </c>
      <c r="AA391" s="316" t="str">
        <f t="shared" ca="1" si="198"/>
        <v/>
      </c>
      <c r="AC391" s="310" t="e">
        <f t="shared" ca="1" si="199"/>
        <v>#N/A</v>
      </c>
      <c r="AD391" s="323" t="e">
        <f t="shared" ca="1" si="200"/>
        <v>#N/A</v>
      </c>
      <c r="AE391" s="324">
        <f t="shared" ca="1" si="179"/>
        <v>489.2458391115959</v>
      </c>
      <c r="AG391" s="306">
        <f t="shared" ca="1" si="201"/>
        <v>27.916715604666337</v>
      </c>
      <c r="AH391" s="304">
        <f t="shared" ca="1" si="202"/>
        <v>37.654233344824966</v>
      </c>
    </row>
    <row r="392" spans="1:34" x14ac:dyDescent="0.25">
      <c r="A392" s="347">
        <f t="shared" ca="1" si="180"/>
        <v>0.01</v>
      </c>
      <c r="B392" s="304">
        <f t="shared" ca="1" si="181"/>
        <v>3.8799999999999613</v>
      </c>
      <c r="D392" s="306">
        <f t="shared" ca="1" si="182"/>
        <v>4.5505647900847626</v>
      </c>
      <c r="E392" s="307">
        <f t="shared" ca="1" si="183"/>
        <v>27.39982783110004</v>
      </c>
      <c r="F392" s="304">
        <f t="shared" ca="1" si="184"/>
        <v>27.775136454798627</v>
      </c>
      <c r="G392" s="306">
        <f t="shared" ca="1" si="185"/>
        <v>26.864411968939855</v>
      </c>
      <c r="H392" s="307">
        <f t="shared" ca="1" si="186"/>
        <v>219.57136747490995</v>
      </c>
      <c r="I392" s="304">
        <f t="shared" ca="1" si="187"/>
        <v>221.20868438024505</v>
      </c>
      <c r="J392" s="306">
        <f t="shared" ca="1" si="188"/>
        <v>55.664111519372</v>
      </c>
      <c r="K392" s="307">
        <f t="shared" ca="1" si="189"/>
        <v>491.44018279495344</v>
      </c>
      <c r="L392" s="304">
        <f t="shared" ca="1" si="174"/>
        <v>494.58259833598913</v>
      </c>
      <c r="M392" s="306">
        <f t="shared" ca="1" si="190"/>
        <v>1.449052058305766</v>
      </c>
      <c r="N392" s="304">
        <f t="shared" ca="1" si="191"/>
        <v>83.024567235665273</v>
      </c>
      <c r="P392" s="310">
        <f t="shared" ca="1" si="192"/>
        <v>13</v>
      </c>
      <c r="Q392" s="304">
        <f t="shared" ca="1" si="193"/>
        <v>641.35000000000537</v>
      </c>
      <c r="R392" s="306">
        <f t="shared" ca="1" si="194"/>
        <v>0.32127290551543275</v>
      </c>
      <c r="S392" s="307">
        <f t="shared" ca="1" si="195"/>
        <v>10.79602163644914</v>
      </c>
      <c r="T392" s="304">
        <f t="shared" ca="1" si="175"/>
        <v>105.90897225356608</v>
      </c>
      <c r="U392" s="311">
        <f t="shared" ca="1" si="176"/>
        <v>0</v>
      </c>
      <c r="V392" s="306">
        <f t="shared" ca="1" si="177"/>
        <v>1.1662423706139227</v>
      </c>
      <c r="W392" s="304">
        <f t="shared" ca="1" si="178"/>
        <v>237.18173777421055</v>
      </c>
      <c r="Y392" s="314" t="str">
        <f t="shared" ca="1" si="196"/>
        <v/>
      </c>
      <c r="Z392" s="315" t="str">
        <f t="shared" ca="1" si="197"/>
        <v/>
      </c>
      <c r="AA392" s="316" t="str">
        <f t="shared" ca="1" si="198"/>
        <v/>
      </c>
      <c r="AC392" s="310" t="e">
        <f t="shared" ca="1" si="199"/>
        <v>#N/A</v>
      </c>
      <c r="AD392" s="323" t="e">
        <f t="shared" ca="1" si="200"/>
        <v>#N/A</v>
      </c>
      <c r="AE392" s="324">
        <f t="shared" ca="1" si="179"/>
        <v>491.44018279495344</v>
      </c>
      <c r="AG392" s="306">
        <f t="shared" ca="1" si="201"/>
        <v>27.749596530451591</v>
      </c>
      <c r="AH392" s="304">
        <f t="shared" ca="1" si="202"/>
        <v>37.487050125728302</v>
      </c>
    </row>
    <row r="393" spans="1:34" x14ac:dyDescent="0.25">
      <c r="A393" s="347">
        <f t="shared" ca="1" si="180"/>
        <v>0.01</v>
      </c>
      <c r="B393" s="304">
        <f t="shared" ca="1" si="181"/>
        <v>3.889999999999961</v>
      </c>
      <c r="D393" s="306">
        <f t="shared" ca="1" si="182"/>
        <v>4.5322849459015053</v>
      </c>
      <c r="E393" s="307">
        <f t="shared" ca="1" si="183"/>
        <v>27.233803694945117</v>
      </c>
      <c r="F393" s="304">
        <f t="shared" ca="1" si="184"/>
        <v>27.608362329657506</v>
      </c>
      <c r="G393" s="306">
        <f t="shared" ca="1" si="185"/>
        <v>26.909734818398871</v>
      </c>
      <c r="H393" s="307">
        <f t="shared" ca="1" si="186"/>
        <v>219.84370551185941</v>
      </c>
      <c r="I393" s="304">
        <f t="shared" ca="1" si="187"/>
        <v>221.48451115412499</v>
      </c>
      <c r="J393" s="306">
        <f t="shared" ca="1" si="188"/>
        <v>55.932982253308694</v>
      </c>
      <c r="K393" s="307">
        <f t="shared" ca="1" si="189"/>
        <v>493.63725815988727</v>
      </c>
      <c r="L393" s="304">
        <f t="shared" ca="1" si="174"/>
        <v>496.79597537355323</v>
      </c>
      <c r="M393" s="306">
        <f t="shared" ca="1" si="190"/>
        <v>1.4489982683963394</v>
      </c>
      <c r="N393" s="304">
        <f t="shared" ca="1" si="191"/>
        <v>83.021485300874744</v>
      </c>
      <c r="P393" s="310">
        <f t="shared" ca="1" si="192"/>
        <v>13</v>
      </c>
      <c r="Q393" s="304">
        <f t="shared" ca="1" si="193"/>
        <v>639.97000000000537</v>
      </c>
      <c r="R393" s="306">
        <f t="shared" ca="1" si="194"/>
        <v>0.32058161899541826</v>
      </c>
      <c r="S393" s="307">
        <f t="shared" ca="1" si="195"/>
        <v>10.792815820259186</v>
      </c>
      <c r="T393" s="304">
        <f t="shared" ca="1" si="175"/>
        <v>105.87752319674262</v>
      </c>
      <c r="U393" s="311">
        <f t="shared" ca="1" si="176"/>
        <v>0</v>
      </c>
      <c r="V393" s="306">
        <f t="shared" ca="1" si="177"/>
        <v>1.1659860110600826</v>
      </c>
      <c r="W393" s="304">
        <f t="shared" ca="1" si="178"/>
        <v>237.72132732037502</v>
      </c>
      <c r="Y393" s="314" t="str">
        <f t="shared" ca="1" si="196"/>
        <v/>
      </c>
      <c r="Z393" s="315" t="str">
        <f t="shared" ca="1" si="197"/>
        <v/>
      </c>
      <c r="AA393" s="316" t="str">
        <f t="shared" ca="1" si="198"/>
        <v/>
      </c>
      <c r="AC393" s="310" t="e">
        <f t="shared" ca="1" si="199"/>
        <v>#N/A</v>
      </c>
      <c r="AD393" s="323" t="e">
        <f t="shared" ca="1" si="200"/>
        <v>#N/A</v>
      </c>
      <c r="AE393" s="324">
        <f t="shared" ca="1" si="179"/>
        <v>493.63725815988727</v>
      </c>
      <c r="AG393" s="306">
        <f t="shared" ca="1" si="201"/>
        <v>27.582645346335106</v>
      </c>
      <c r="AH393" s="304">
        <f t="shared" ca="1" si="202"/>
        <v>37.320034820729667</v>
      </c>
    </row>
    <row r="394" spans="1:34" x14ac:dyDescent="0.25">
      <c r="A394" s="347">
        <f t="shared" ca="1" si="180"/>
        <v>0.01</v>
      </c>
      <c r="B394" s="304">
        <f t="shared" ca="1" si="181"/>
        <v>3.8999999999999608</v>
      </c>
      <c r="D394" s="306">
        <f t="shared" ca="1" si="182"/>
        <v>4.5140061884198115</v>
      </c>
      <c r="E394" s="307">
        <f t="shared" ca="1" si="183"/>
        <v>27.067949703434579</v>
      </c>
      <c r="F394" s="304">
        <f t="shared" ca="1" si="184"/>
        <v>27.441759291575249</v>
      </c>
      <c r="G394" s="306">
        <f t="shared" ca="1" si="185"/>
        <v>26.954874880283068</v>
      </c>
      <c r="H394" s="307">
        <f t="shared" ca="1" si="186"/>
        <v>220.11438500889375</v>
      </c>
      <c r="I394" s="304">
        <f t="shared" ca="1" si="187"/>
        <v>221.75867010706759</v>
      </c>
      <c r="J394" s="306">
        <f t="shared" ca="1" si="188"/>
        <v>56.202305301802106</v>
      </c>
      <c r="K394" s="307">
        <f t="shared" ca="1" si="189"/>
        <v>495.83704861249106</v>
      </c>
      <c r="L394" s="304">
        <f t="shared" ca="1" si="174"/>
        <v>499.01210195543632</v>
      </c>
      <c r="M394" s="306">
        <f t="shared" ca="1" si="190"/>
        <v>1.4489445213680749</v>
      </c>
      <c r="N394" s="304">
        <f t="shared" ca="1" si="191"/>
        <v>83.018405822993827</v>
      </c>
      <c r="P394" s="310">
        <f t="shared" ca="1" si="192"/>
        <v>13</v>
      </c>
      <c r="Q394" s="304">
        <f t="shared" ca="1" si="193"/>
        <v>638.59000000000538</v>
      </c>
      <c r="R394" s="306">
        <f t="shared" ca="1" si="194"/>
        <v>0.31989033247540377</v>
      </c>
      <c r="S394" s="307">
        <f t="shared" ca="1" si="195"/>
        <v>10.789616916934431</v>
      </c>
      <c r="T394" s="304">
        <f t="shared" ca="1" si="175"/>
        <v>105.84614195512677</v>
      </c>
      <c r="U394" s="311">
        <f t="shared" ca="1" si="176"/>
        <v>0</v>
      </c>
      <c r="V394" s="306">
        <f t="shared" ca="1" si="177"/>
        <v>1.1657293897673313</v>
      </c>
      <c r="W394" s="304">
        <f t="shared" ca="1" si="178"/>
        <v>238.25775654555218</v>
      </c>
      <c r="Y394" s="314" t="str">
        <f t="shared" ca="1" si="196"/>
        <v/>
      </c>
      <c r="Z394" s="315" t="str">
        <f t="shared" ca="1" si="197"/>
        <v/>
      </c>
      <c r="AA394" s="316" t="str">
        <f t="shared" ca="1" si="198"/>
        <v/>
      </c>
      <c r="AC394" s="310" t="e">
        <f t="shared" ca="1" si="199"/>
        <v>#N/A</v>
      </c>
      <c r="AD394" s="323" t="e">
        <f t="shared" ca="1" si="200"/>
        <v>#N/A</v>
      </c>
      <c r="AE394" s="324">
        <f t="shared" ca="1" si="179"/>
        <v>495.83704861249106</v>
      </c>
      <c r="AG394" s="306">
        <f t="shared" ca="1" si="201"/>
        <v>27.415863264069124</v>
      </c>
      <c r="AH394" s="304">
        <f t="shared" ca="1" si="202"/>
        <v>37.153188641059373</v>
      </c>
    </row>
    <row r="395" spans="1:34" x14ac:dyDescent="0.25">
      <c r="A395" s="347">
        <f t="shared" ca="1" si="180"/>
        <v>0.01</v>
      </c>
      <c r="B395" s="304">
        <f t="shared" ca="1" si="181"/>
        <v>3.9099999999999606</v>
      </c>
      <c r="D395" s="306">
        <f t="shared" ca="1" si="182"/>
        <v>4.4957287303070528</v>
      </c>
      <c r="E395" s="307">
        <f t="shared" ca="1" si="183"/>
        <v>26.902267040133957</v>
      </c>
      <c r="F395" s="304">
        <f t="shared" ca="1" si="184"/>
        <v>27.275328572084813</v>
      </c>
      <c r="G395" s="306">
        <f t="shared" ca="1" si="185"/>
        <v>26.999832167586138</v>
      </c>
      <c r="H395" s="307">
        <f t="shared" ca="1" si="186"/>
        <v>220.38340767929509</v>
      </c>
      <c r="I395" s="304">
        <f t="shared" ca="1" si="187"/>
        <v>222.03116294208837</v>
      </c>
      <c r="J395" s="306">
        <f t="shared" ca="1" si="188"/>
        <v>56.472078837041451</v>
      </c>
      <c r="K395" s="307">
        <f t="shared" ca="1" si="189"/>
        <v>498.039537575932</v>
      </c>
      <c r="L395" s="304">
        <f t="shared" ca="1" si="174"/>
        <v>501.23096141102974</v>
      </c>
      <c r="M395" s="306">
        <f t="shared" ca="1" si="190"/>
        <v>1.4488908167310417</v>
      </c>
      <c r="N395" s="304">
        <f t="shared" ca="1" si="191"/>
        <v>83.015328773951538</v>
      </c>
      <c r="P395" s="310">
        <f t="shared" ca="1" si="192"/>
        <v>13</v>
      </c>
      <c r="Q395" s="304">
        <f t="shared" ca="1" si="193"/>
        <v>637.21000000000549</v>
      </c>
      <c r="R395" s="306">
        <f t="shared" ca="1" si="194"/>
        <v>0.31919904595538934</v>
      </c>
      <c r="S395" s="307">
        <f t="shared" ca="1" si="195"/>
        <v>10.786424926474877</v>
      </c>
      <c r="T395" s="304">
        <f t="shared" ca="1" si="175"/>
        <v>105.81482852871855</v>
      </c>
      <c r="U395" s="311">
        <f t="shared" ca="1" si="176"/>
        <v>0</v>
      </c>
      <c r="V395" s="306">
        <f t="shared" ca="1" si="177"/>
        <v>1.1654725088550917</v>
      </c>
      <c r="W395" s="304">
        <f t="shared" ca="1" si="178"/>
        <v>238.79101774146901</v>
      </c>
      <c r="Y395" s="314" t="str">
        <f t="shared" ca="1" si="196"/>
        <v/>
      </c>
      <c r="Z395" s="315" t="str">
        <f t="shared" ca="1" si="197"/>
        <v/>
      </c>
      <c r="AA395" s="316" t="str">
        <f t="shared" ca="1" si="198"/>
        <v/>
      </c>
      <c r="AC395" s="310" t="e">
        <f t="shared" ca="1" si="199"/>
        <v>#N/A</v>
      </c>
      <c r="AD395" s="323" t="e">
        <f t="shared" ca="1" si="200"/>
        <v>#N/A</v>
      </c>
      <c r="AE395" s="324">
        <f t="shared" ca="1" si="179"/>
        <v>498.039537575932</v>
      </c>
      <c r="AG395" s="306">
        <f t="shared" ca="1" si="201"/>
        <v>27.249251483099751</v>
      </c>
      <c r="AH395" s="304">
        <f t="shared" ca="1" si="202"/>
        <v>36.986512785644102</v>
      </c>
    </row>
    <row r="396" spans="1:34" x14ac:dyDescent="0.25">
      <c r="A396" s="347">
        <f t="shared" ca="1" si="180"/>
        <v>0.01</v>
      </c>
      <c r="B396" s="304">
        <f t="shared" ca="1" si="181"/>
        <v>3.9199999999999604</v>
      </c>
      <c r="D396" s="306">
        <f t="shared" ca="1" si="182"/>
        <v>4.4774527825131329</v>
      </c>
      <c r="E396" s="307">
        <f t="shared" ca="1" si="183"/>
        <v>26.736756876437461</v>
      </c>
      <c r="F396" s="304">
        <f t="shared" ca="1" si="184"/>
        <v>27.109071391129586</v>
      </c>
      <c r="G396" s="306">
        <f t="shared" ca="1" si="185"/>
        <v>27.044606695411268</v>
      </c>
      <c r="H396" s="307">
        <f t="shared" ca="1" si="186"/>
        <v>220.65077524805946</v>
      </c>
      <c r="I396" s="304">
        <f t="shared" ca="1" si="187"/>
        <v>222.30199137407459</v>
      </c>
      <c r="J396" s="306">
        <f t="shared" ca="1" si="188"/>
        <v>56.74230103135644</v>
      </c>
      <c r="K396" s="307">
        <f t="shared" ca="1" si="189"/>
        <v>500.24470849056877</v>
      </c>
      <c r="L396" s="304">
        <f t="shared" ca="1" si="174"/>
        <v>503.45253708681139</v>
      </c>
      <c r="M396" s="306">
        <f t="shared" ca="1" si="190"/>
        <v>1.4488371539982619</v>
      </c>
      <c r="N396" s="304">
        <f t="shared" ca="1" si="191"/>
        <v>83.012254125846113</v>
      </c>
      <c r="P396" s="310">
        <f t="shared" ca="1" si="192"/>
        <v>13</v>
      </c>
      <c r="Q396" s="304">
        <f t="shared" ca="1" si="193"/>
        <v>635.8300000000055</v>
      </c>
      <c r="R396" s="306">
        <f t="shared" ca="1" si="194"/>
        <v>0.31850775943537485</v>
      </c>
      <c r="S396" s="307">
        <f t="shared" ca="1" si="195"/>
        <v>10.783239848880523</v>
      </c>
      <c r="T396" s="304">
        <f t="shared" ca="1" si="175"/>
        <v>105.78358291751793</v>
      </c>
      <c r="U396" s="311">
        <f t="shared" ca="1" si="176"/>
        <v>0</v>
      </c>
      <c r="V396" s="306">
        <f t="shared" ca="1" si="177"/>
        <v>1.1652153704392472</v>
      </c>
      <c r="W396" s="304">
        <f t="shared" ca="1" si="178"/>
        <v>239.32110333995021</v>
      </c>
      <c r="Y396" s="314" t="str">
        <f t="shared" ca="1" si="196"/>
        <v/>
      </c>
      <c r="Z396" s="315" t="str">
        <f t="shared" ca="1" si="197"/>
        <v/>
      </c>
      <c r="AA396" s="316" t="str">
        <f t="shared" ca="1" si="198"/>
        <v/>
      </c>
      <c r="AC396" s="310" t="e">
        <f t="shared" ca="1" si="199"/>
        <v>#N/A</v>
      </c>
      <c r="AD396" s="323" t="e">
        <f t="shared" ca="1" si="200"/>
        <v>#N/A</v>
      </c>
      <c r="AE396" s="324">
        <f t="shared" ca="1" si="179"/>
        <v>500.24470849056877</v>
      </c>
      <c r="AG396" s="306">
        <f t="shared" ca="1" si="201"/>
        <v>27.082811190592516</v>
      </c>
      <c r="AH396" s="304">
        <f t="shared" ca="1" si="202"/>
        <v>36.820008441132437</v>
      </c>
    </row>
    <row r="397" spans="1:34" x14ac:dyDescent="0.25">
      <c r="A397" s="347">
        <f t="shared" ca="1" si="180"/>
        <v>0.01</v>
      </c>
      <c r="B397" s="304">
        <f t="shared" ca="1" si="181"/>
        <v>3.9299999999999602</v>
      </c>
      <c r="D397" s="306">
        <f t="shared" ca="1" si="182"/>
        <v>4.459178554274466</v>
      </c>
      <c r="E397" s="307">
        <f t="shared" ca="1" si="183"/>
        <v>26.57142037159398</v>
      </c>
      <c r="F397" s="304">
        <f t="shared" ca="1" si="184"/>
        <v>26.942988957108319</v>
      </c>
      <c r="G397" s="306">
        <f t="shared" ca="1" si="185"/>
        <v>27.089198480954014</v>
      </c>
      <c r="H397" s="307">
        <f t="shared" ca="1" si="186"/>
        <v>220.91648945177539</v>
      </c>
      <c r="I397" s="304">
        <f t="shared" ca="1" si="187"/>
        <v>222.57115712966248</v>
      </c>
      <c r="J397" s="306">
        <f t="shared" ca="1" si="188"/>
        <v>57.01297005723827</v>
      </c>
      <c r="K397" s="307">
        <f t="shared" ca="1" si="189"/>
        <v>502.45254481406795</v>
      </c>
      <c r="L397" s="304">
        <f t="shared" ca="1" si="174"/>
        <v>505.67681234646358</v>
      </c>
      <c r="M397" s="306">
        <f t="shared" ca="1" si="190"/>
        <v>1.4487835326856784</v>
      </c>
      <c r="N397" s="304">
        <f t="shared" ca="1" si="191"/>
        <v>83.009181850943122</v>
      </c>
      <c r="P397" s="310">
        <f t="shared" ca="1" si="192"/>
        <v>13</v>
      </c>
      <c r="Q397" s="304">
        <f t="shared" ca="1" si="193"/>
        <v>634.4500000000055</v>
      </c>
      <c r="R397" s="306">
        <f t="shared" ca="1" si="194"/>
        <v>0.31781647291536036</v>
      </c>
      <c r="S397" s="307">
        <f t="shared" ca="1" si="195"/>
        <v>10.78006168415137</v>
      </c>
      <c r="T397" s="304">
        <f t="shared" ca="1" si="175"/>
        <v>105.75240512152494</v>
      </c>
      <c r="U397" s="311">
        <f t="shared" ca="1" si="176"/>
        <v>0</v>
      </c>
      <c r="V397" s="306">
        <f t="shared" ca="1" si="177"/>
        <v>1.1649579766321256</v>
      </c>
      <c r="W397" s="304">
        <f t="shared" ca="1" si="178"/>
        <v>239.84800591235404</v>
      </c>
      <c r="Y397" s="314" t="str">
        <f t="shared" ca="1" si="196"/>
        <v/>
      </c>
      <c r="Z397" s="315" t="str">
        <f t="shared" ca="1" si="197"/>
        <v/>
      </c>
      <c r="AA397" s="316" t="str">
        <f t="shared" ca="1" si="198"/>
        <v/>
      </c>
      <c r="AC397" s="310" t="e">
        <f t="shared" ca="1" si="199"/>
        <v>#N/A</v>
      </c>
      <c r="AD397" s="323" t="e">
        <f t="shared" ca="1" si="200"/>
        <v>#N/A</v>
      </c>
      <c r="AE397" s="324">
        <f t="shared" ca="1" si="179"/>
        <v>502.45254481406795</v>
      </c>
      <c r="AG397" s="306">
        <f t="shared" ca="1" si="201"/>
        <v>26.916543561458528</v>
      </c>
      <c r="AH397" s="304">
        <f t="shared" ca="1" si="202"/>
        <v>36.653676781921</v>
      </c>
    </row>
    <row r="398" spans="1:34" x14ac:dyDescent="0.25">
      <c r="A398" s="347">
        <f t="shared" ca="1" si="180"/>
        <v>0.01</v>
      </c>
      <c r="B398" s="304">
        <f t="shared" ca="1" si="181"/>
        <v>3.93999999999996</v>
      </c>
      <c r="D398" s="306">
        <f t="shared" ca="1" si="182"/>
        <v>4.4409062531179391</v>
      </c>
      <c r="E398" s="307">
        <f t="shared" ca="1" si="183"/>
        <v>26.406258672733593</v>
      </c>
      <c r="F398" s="304">
        <f t="shared" ca="1" si="184"/>
        <v>26.777082466921225</v>
      </c>
      <c r="G398" s="306">
        <f t="shared" ca="1" si="185"/>
        <v>27.133607543485194</v>
      </c>
      <c r="H398" s="307">
        <f t="shared" ca="1" si="186"/>
        <v>221.18055203850273</v>
      </c>
      <c r="I398" s="304">
        <f t="shared" ca="1" si="187"/>
        <v>222.83866194711521</v>
      </c>
      <c r="J398" s="306">
        <f t="shared" ca="1" si="188"/>
        <v>57.284084087360469</v>
      </c>
      <c r="K398" s="307">
        <f t="shared" ca="1" si="189"/>
        <v>504.66303002151932</v>
      </c>
      <c r="L398" s="304">
        <f t="shared" ca="1" si="174"/>
        <v>507.90377057098982</v>
      </c>
      <c r="M398" s="306">
        <f t="shared" ca="1" si="190"/>
        <v>1.4487299523121218</v>
      </c>
      <c r="N398" s="304">
        <f t="shared" ca="1" si="191"/>
        <v>83.006111921673593</v>
      </c>
      <c r="P398" s="310">
        <f t="shared" ca="1" si="192"/>
        <v>13</v>
      </c>
      <c r="Q398" s="304">
        <f t="shared" ca="1" si="193"/>
        <v>633.07000000000551</v>
      </c>
      <c r="R398" s="306">
        <f t="shared" ca="1" si="194"/>
        <v>0.31712518639534587</v>
      </c>
      <c r="S398" s="307">
        <f t="shared" ca="1" si="195"/>
        <v>10.776890432287416</v>
      </c>
      <c r="T398" s="304">
        <f t="shared" ca="1" si="175"/>
        <v>105.72129514073956</v>
      </c>
      <c r="U398" s="311">
        <f t="shared" ca="1" si="176"/>
        <v>0</v>
      </c>
      <c r="V398" s="306">
        <f t="shared" ca="1" si="177"/>
        <v>1.1647003295424836</v>
      </c>
      <c r="W398" s="304">
        <f t="shared" ca="1" si="178"/>
        <v>240.37171816900462</v>
      </c>
      <c r="Y398" s="314" t="str">
        <f t="shared" ca="1" si="196"/>
        <v/>
      </c>
      <c r="Z398" s="315" t="str">
        <f t="shared" ca="1" si="197"/>
        <v/>
      </c>
      <c r="AA398" s="316" t="str">
        <f t="shared" ca="1" si="198"/>
        <v/>
      </c>
      <c r="AC398" s="310" t="e">
        <f t="shared" ca="1" si="199"/>
        <v>#N/A</v>
      </c>
      <c r="AD398" s="323" t="e">
        <f t="shared" ca="1" si="200"/>
        <v>#N/A</v>
      </c>
      <c r="AE398" s="324">
        <f t="shared" ca="1" si="179"/>
        <v>504.66303002151932</v>
      </c>
      <c r="AG398" s="306">
        <f t="shared" ca="1" si="201"/>
        <v>26.750449758381297</v>
      </c>
      <c r="AH398" s="304">
        <f t="shared" ca="1" si="202"/>
        <v>36.487518970181206</v>
      </c>
    </row>
    <row r="399" spans="1:34" x14ac:dyDescent="0.25">
      <c r="A399" s="347">
        <f t="shared" ca="1" si="180"/>
        <v>0.01</v>
      </c>
      <c r="B399" s="304">
        <f t="shared" ca="1" si="181"/>
        <v>3.9499999999999598</v>
      </c>
      <c r="D399" s="306">
        <f t="shared" ca="1" si="182"/>
        <v>4.4226360848649326</v>
      </c>
      <c r="E399" s="307">
        <f t="shared" ca="1" si="183"/>
        <v>26.241272914894601</v>
      </c>
      <c r="F399" s="304">
        <f t="shared" ca="1" si="184"/>
        <v>26.611353106017187</v>
      </c>
      <c r="G399" s="306">
        <f t="shared" ca="1" si="185"/>
        <v>27.177833904333845</v>
      </c>
      <c r="H399" s="307">
        <f t="shared" ca="1" si="186"/>
        <v>221.44296476765166</v>
      </c>
      <c r="I399" s="304">
        <f t="shared" ca="1" si="187"/>
        <v>223.10450757620063</v>
      </c>
      <c r="J399" s="306">
        <f t="shared" ca="1" si="188"/>
        <v>57.555641294599567</v>
      </c>
      <c r="K399" s="307">
        <f t="shared" ca="1" si="189"/>
        <v>506.8761476055501</v>
      </c>
      <c r="L399" s="304">
        <f t="shared" ca="1" si="174"/>
        <v>510.13339515883104</v>
      </c>
      <c r="M399" s="306">
        <f t="shared" ca="1" si="190"/>
        <v>1.4486764123992772</v>
      </c>
      <c r="N399" s="304">
        <f t="shared" ca="1" si="191"/>
        <v>83.003044310632106</v>
      </c>
      <c r="P399" s="310">
        <f t="shared" ca="1" si="192"/>
        <v>13</v>
      </c>
      <c r="Q399" s="304">
        <f t="shared" ca="1" si="193"/>
        <v>631.69000000000551</v>
      </c>
      <c r="R399" s="306">
        <f t="shared" ca="1" si="194"/>
        <v>0.31643389987533138</v>
      </c>
      <c r="S399" s="307">
        <f t="shared" ca="1" si="195"/>
        <v>10.773726093288664</v>
      </c>
      <c r="T399" s="304">
        <f t="shared" ca="1" si="175"/>
        <v>105.6902529751618</v>
      </c>
      <c r="U399" s="311">
        <f t="shared" ca="1" si="176"/>
        <v>0</v>
      </c>
      <c r="V399" s="306">
        <f t="shared" ca="1" si="177"/>
        <v>1.164442431275492</v>
      </c>
      <c r="W399" s="304">
        <f t="shared" ca="1" si="178"/>
        <v>240.89223295861947</v>
      </c>
      <c r="Y399" s="314" t="str">
        <f t="shared" ca="1" si="196"/>
        <v/>
      </c>
      <c r="Z399" s="315" t="str">
        <f t="shared" ca="1" si="197"/>
        <v/>
      </c>
      <c r="AA399" s="316" t="str">
        <f t="shared" ca="1" si="198"/>
        <v/>
      </c>
      <c r="AC399" s="310" t="e">
        <f t="shared" ca="1" si="199"/>
        <v>#N/A</v>
      </c>
      <c r="AD399" s="323" t="e">
        <f t="shared" ca="1" si="200"/>
        <v>#N/A</v>
      </c>
      <c r="AE399" s="324">
        <f t="shared" ca="1" si="179"/>
        <v>506.8761476055501</v>
      </c>
      <c r="AG399" s="306">
        <f t="shared" ca="1" si="201"/>
        <v>26.584530931843851</v>
      </c>
      <c r="AH399" s="304">
        <f t="shared" ca="1" si="202"/>
        <v>36.321536155886399</v>
      </c>
    </row>
    <row r="400" spans="1:34" x14ac:dyDescent="0.25">
      <c r="A400" s="347">
        <f t="shared" ca="1" si="180"/>
        <v>0.01</v>
      </c>
      <c r="B400" s="304">
        <f t="shared" ca="1" si="181"/>
        <v>3.9599999999999596</v>
      </c>
      <c r="D400" s="306">
        <f t="shared" ca="1" si="182"/>
        <v>4.4043682536353961</v>
      </c>
      <c r="E400" s="307">
        <f t="shared" ca="1" si="183"/>
        <v>26.07646422105114</v>
      </c>
      <c r="F400" s="304">
        <f t="shared" ca="1" si="184"/>
        <v>26.445802048442236</v>
      </c>
      <c r="G400" s="306">
        <f t="shared" ca="1" si="185"/>
        <v>27.2218775868702</v>
      </c>
      <c r="H400" s="307">
        <f t="shared" ca="1" si="186"/>
        <v>221.70372940986218</v>
      </c>
      <c r="I400" s="304">
        <f t="shared" ca="1" si="187"/>
        <v>223.36869577806988</v>
      </c>
      <c r="J400" s="306">
        <f t="shared" ca="1" si="188"/>
        <v>57.82763985205559</v>
      </c>
      <c r="K400" s="307">
        <f t="shared" ca="1" si="189"/>
        <v>509.09188107643769</v>
      </c>
      <c r="L400" s="304">
        <f t="shared" ca="1" si="174"/>
        <v>512.36566952597911</v>
      </c>
      <c r="M400" s="306">
        <f t="shared" ca="1" si="190"/>
        <v>1.4486229124716519</v>
      </c>
      <c r="N400" s="304">
        <f t="shared" ca="1" si="191"/>
        <v>82.999978990574917</v>
      </c>
      <c r="P400" s="310">
        <f t="shared" ca="1" si="192"/>
        <v>13</v>
      </c>
      <c r="Q400" s="304">
        <f t="shared" ca="1" si="193"/>
        <v>630.31000000000563</v>
      </c>
      <c r="R400" s="306">
        <f t="shared" ca="1" si="194"/>
        <v>0.31574261335531695</v>
      </c>
      <c r="S400" s="307">
        <f t="shared" ca="1" si="195"/>
        <v>10.770568667155111</v>
      </c>
      <c r="T400" s="304">
        <f t="shared" ca="1" si="175"/>
        <v>105.65927862479164</v>
      </c>
      <c r="U400" s="311">
        <f t="shared" ca="1" si="176"/>
        <v>0</v>
      </c>
      <c r="V400" s="306">
        <f t="shared" ca="1" si="177"/>
        <v>1.1641842839327217</v>
      </c>
      <c r="W400" s="304">
        <f t="shared" ca="1" si="178"/>
        <v>241.40954326773499</v>
      </c>
      <c r="Y400" s="314" t="str">
        <f t="shared" ca="1" si="196"/>
        <v/>
      </c>
      <c r="Z400" s="315" t="str">
        <f t="shared" ca="1" si="197"/>
        <v/>
      </c>
      <c r="AA400" s="316" t="str">
        <f t="shared" ca="1" si="198"/>
        <v/>
      </c>
      <c r="AC400" s="310" t="e">
        <f t="shared" ca="1" si="199"/>
        <v>#N/A</v>
      </c>
      <c r="AD400" s="323" t="e">
        <f t="shared" ca="1" si="200"/>
        <v>#N/A</v>
      </c>
      <c r="AE400" s="324">
        <f t="shared" ca="1" si="179"/>
        <v>509.09188107643769</v>
      </c>
      <c r="AG400" s="306">
        <f t="shared" ca="1" si="201"/>
        <v>26.41878822015666</v>
      </c>
      <c r="AH400" s="304">
        <f t="shared" ca="1" si="202"/>
        <v>36.155729476839703</v>
      </c>
    </row>
    <row r="401" spans="1:34" x14ac:dyDescent="0.25">
      <c r="A401" s="347">
        <f t="shared" ca="1" si="180"/>
        <v>0.01</v>
      </c>
      <c r="B401" s="304">
        <f t="shared" ca="1" si="181"/>
        <v>3.9699999999999593</v>
      </c>
      <c r="D401" s="306">
        <f t="shared" ca="1" si="182"/>
        <v>4.3861029618519582</v>
      </c>
      <c r="E401" s="307">
        <f t="shared" ca="1" si="183"/>
        <v>25.911833702141152</v>
      </c>
      <c r="F401" s="304">
        <f t="shared" ca="1" si="184"/>
        <v>26.280430456889107</v>
      </c>
      <c r="G401" s="306">
        <f t="shared" ca="1" si="185"/>
        <v>27.265738616488719</v>
      </c>
      <c r="H401" s="307">
        <f t="shared" ca="1" si="186"/>
        <v>221.9628477468836</v>
      </c>
      <c r="I401" s="304">
        <f t="shared" ca="1" si="187"/>
        <v>223.63122832513554</v>
      </c>
      <c r="J401" s="306">
        <f t="shared" ca="1" si="188"/>
        <v>58.100077933072384</v>
      </c>
      <c r="K401" s="307">
        <f t="shared" ca="1" si="189"/>
        <v>511.31021396222144</v>
      </c>
      <c r="L401" s="304">
        <f t="shared" ca="1" si="174"/>
        <v>514.6005771060909</v>
      </c>
      <c r="M401" s="306">
        <f t="shared" ca="1" si="190"/>
        <v>1.4485694520565444</v>
      </c>
      <c r="N401" s="304">
        <f t="shared" ca="1" si="191"/>
        <v>82.99691593441824</v>
      </c>
      <c r="P401" s="310">
        <f t="shared" ca="1" si="192"/>
        <v>13</v>
      </c>
      <c r="Q401" s="304">
        <f t="shared" ca="1" si="193"/>
        <v>628.93000000000563</v>
      </c>
      <c r="R401" s="306">
        <f t="shared" ca="1" si="194"/>
        <v>0.31505132683530246</v>
      </c>
      <c r="S401" s="307">
        <f t="shared" ca="1" si="195"/>
        <v>10.767418153886757</v>
      </c>
      <c r="T401" s="304">
        <f t="shared" ca="1" si="175"/>
        <v>105.6283720896291</v>
      </c>
      <c r="U401" s="311">
        <f t="shared" ca="1" si="176"/>
        <v>0</v>
      </c>
      <c r="V401" s="306">
        <f t="shared" ca="1" si="177"/>
        <v>1.1639258896121267</v>
      </c>
      <c r="W401" s="304">
        <f t="shared" ca="1" si="178"/>
        <v>241.92364222012529</v>
      </c>
      <c r="Y401" s="314" t="str">
        <f t="shared" ca="1" si="196"/>
        <v/>
      </c>
      <c r="Z401" s="315" t="str">
        <f t="shared" ca="1" si="197"/>
        <v/>
      </c>
      <c r="AA401" s="316" t="str">
        <f t="shared" ca="1" si="198"/>
        <v/>
      </c>
      <c r="AC401" s="310" t="e">
        <f t="shared" ca="1" si="199"/>
        <v>#N/A</v>
      </c>
      <c r="AD401" s="323" t="e">
        <f t="shared" ca="1" si="200"/>
        <v>#N/A</v>
      </c>
      <c r="AE401" s="324">
        <f t="shared" ca="1" si="179"/>
        <v>511.31021396222144</v>
      </c>
      <c r="AG401" s="306">
        <f t="shared" ca="1" si="201"/>
        <v>26.253222749485783</v>
      </c>
      <c r="AH401" s="304">
        <f t="shared" ca="1" si="202"/>
        <v>35.990100058702176</v>
      </c>
    </row>
    <row r="402" spans="1:34" x14ac:dyDescent="0.25">
      <c r="A402" s="347">
        <f t="shared" ca="1" si="180"/>
        <v>0.01</v>
      </c>
      <c r="B402" s="304">
        <f t="shared" ca="1" si="181"/>
        <v>3.9799999999999591</v>
      </c>
      <c r="D402" s="306">
        <f t="shared" ca="1" si="182"/>
        <v>4.3678404102440167</v>
      </c>
      <c r="E402" s="307">
        <f t="shared" ca="1" si="183"/>
        <v>25.747382457095171</v>
      </c>
      <c r="F402" s="304">
        <f t="shared" ca="1" si="184"/>
        <v>26.115239482748244</v>
      </c>
      <c r="G402" s="306">
        <f t="shared" ca="1" si="185"/>
        <v>27.309417020591159</v>
      </c>
      <c r="H402" s="307">
        <f t="shared" ca="1" si="186"/>
        <v>222.22032157145455</v>
      </c>
      <c r="I402" s="304">
        <f t="shared" ca="1" si="187"/>
        <v>223.89210700095083</v>
      </c>
      <c r="J402" s="306">
        <f t="shared" ca="1" si="188"/>
        <v>58.372953711257786</v>
      </c>
      <c r="K402" s="307">
        <f t="shared" ca="1" si="189"/>
        <v>513.53112980881315</v>
      </c>
      <c r="L402" s="304">
        <f t="shared" ca="1" si="174"/>
        <v>516.83810135059969</v>
      </c>
      <c r="M402" s="306">
        <f t="shared" ca="1" si="190"/>
        <v>1.4485160306840117</v>
      </c>
      <c r="N402" s="304">
        <f t="shared" ca="1" si="191"/>
        <v>82.993855115236329</v>
      </c>
      <c r="P402" s="310">
        <f t="shared" ca="1" si="192"/>
        <v>13</v>
      </c>
      <c r="Q402" s="304">
        <f t="shared" ca="1" si="193"/>
        <v>627.55000000000564</v>
      </c>
      <c r="R402" s="306">
        <f t="shared" ca="1" si="194"/>
        <v>0.31436004031528797</v>
      </c>
      <c r="S402" s="307">
        <f t="shared" ca="1" si="195"/>
        <v>10.764274553483604</v>
      </c>
      <c r="T402" s="304">
        <f t="shared" ca="1" si="175"/>
        <v>105.59753336967417</v>
      </c>
      <c r="U402" s="311">
        <f t="shared" ca="1" si="176"/>
        <v>0</v>
      </c>
      <c r="V402" s="306">
        <f t="shared" ca="1" si="177"/>
        <v>1.1636672504080328</v>
      </c>
      <c r="W402" s="304">
        <f t="shared" ca="1" si="178"/>
        <v>242.43452307622047</v>
      </c>
      <c r="Y402" s="314" t="str">
        <f t="shared" ca="1" si="196"/>
        <v/>
      </c>
      <c r="Z402" s="315" t="str">
        <f t="shared" ca="1" si="197"/>
        <v/>
      </c>
      <c r="AA402" s="316" t="str">
        <f t="shared" ca="1" si="198"/>
        <v/>
      </c>
      <c r="AC402" s="310" t="e">
        <f t="shared" ca="1" si="199"/>
        <v>#N/A</v>
      </c>
      <c r="AD402" s="323" t="e">
        <f t="shared" ca="1" si="200"/>
        <v>#N/A</v>
      </c>
      <c r="AE402" s="324">
        <f t="shared" ca="1" si="179"/>
        <v>513.53112980881315</v>
      </c>
      <c r="AG402" s="306">
        <f t="shared" ca="1" si="201"/>
        <v>26.087835633881888</v>
      </c>
      <c r="AH402" s="304">
        <f t="shared" ca="1" si="202"/>
        <v>35.82464901502177</v>
      </c>
    </row>
    <row r="403" spans="1:34" x14ac:dyDescent="0.25">
      <c r="A403" s="347">
        <f t="shared" ca="1" si="180"/>
        <v>0.01</v>
      </c>
      <c r="B403" s="304">
        <f t="shared" ca="1" si="181"/>
        <v>3.9899999999999589</v>
      </c>
      <c r="D403" s="306">
        <f t="shared" ca="1" si="182"/>
        <v>4.3495807978519796</v>
      </c>
      <c r="E403" s="307">
        <f t="shared" ca="1" si="183"/>
        <v>25.58311157286532</v>
      </c>
      <c r="F403" s="304">
        <f t="shared" ca="1" si="184"/>
        <v>25.950230266159839</v>
      </c>
      <c r="G403" s="306">
        <f t="shared" ca="1" si="185"/>
        <v>27.352912828569679</v>
      </c>
      <c r="H403" s="307">
        <f t="shared" ca="1" si="186"/>
        <v>222.4761526871832</v>
      </c>
      <c r="I403" s="304">
        <f t="shared" ca="1" si="187"/>
        <v>224.15133360008855</v>
      </c>
      <c r="J403" s="306">
        <f t="shared" ca="1" si="188"/>
        <v>58.646265360503591</v>
      </c>
      <c r="K403" s="307">
        <f t="shared" ca="1" si="189"/>
        <v>515.75461218010639</v>
      </c>
      <c r="L403" s="304">
        <f t="shared" ca="1" si="174"/>
        <v>519.0782257288264</v>
      </c>
      <c r="M403" s="306">
        <f t="shared" ca="1" si="190"/>
        <v>1.4484626478868394</v>
      </c>
      <c r="N403" s="304">
        <f t="shared" ca="1" si="191"/>
        <v>82.990796506259755</v>
      </c>
      <c r="P403" s="310">
        <f t="shared" ca="1" si="192"/>
        <v>13</v>
      </c>
      <c r="Q403" s="304">
        <f t="shared" ca="1" si="193"/>
        <v>626.17000000000564</v>
      </c>
      <c r="R403" s="306">
        <f t="shared" ca="1" si="194"/>
        <v>0.31366875379527348</v>
      </c>
      <c r="S403" s="307">
        <f t="shared" ca="1" si="195"/>
        <v>10.761137865945651</v>
      </c>
      <c r="T403" s="304">
        <f t="shared" ca="1" si="175"/>
        <v>105.56676246492684</v>
      </c>
      <c r="U403" s="311">
        <f t="shared" ca="1" si="176"/>
        <v>0</v>
      </c>
      <c r="V403" s="306">
        <f t="shared" ca="1" si="177"/>
        <v>1.1634083684111203</v>
      </c>
      <c r="W403" s="304">
        <f t="shared" ca="1" si="178"/>
        <v>242.94217923251864</v>
      </c>
      <c r="Y403" s="314" t="str">
        <f t="shared" ca="1" si="196"/>
        <v/>
      </c>
      <c r="Z403" s="315" t="str">
        <f t="shared" ca="1" si="197"/>
        <v/>
      </c>
      <c r="AA403" s="316" t="str">
        <f t="shared" ca="1" si="198"/>
        <v/>
      </c>
      <c r="AC403" s="310" t="e">
        <f t="shared" ca="1" si="199"/>
        <v>#N/A</v>
      </c>
      <c r="AD403" s="323" t="e">
        <f t="shared" ca="1" si="200"/>
        <v>#N/A</v>
      </c>
      <c r="AE403" s="324">
        <f t="shared" ca="1" si="179"/>
        <v>515.75461218010639</v>
      </c>
      <c r="AG403" s="306">
        <f t="shared" ca="1" si="201"/>
        <v>25.92262797530946</v>
      </c>
      <c r="AH403" s="304">
        <f t="shared" ca="1" si="202"/>
        <v>35.659377447262536</v>
      </c>
    </row>
    <row r="404" spans="1:34" x14ac:dyDescent="0.25">
      <c r="A404" s="347">
        <f t="shared" ca="1" si="180"/>
        <v>0.01</v>
      </c>
      <c r="B404" s="304">
        <f t="shared" ca="1" si="181"/>
        <v>3.9999999999999587</v>
      </c>
      <c r="D404" s="306">
        <f t="shared" ca="1" si="182"/>
        <v>4.3313243220314055</v>
      </c>
      <c r="E404" s="307">
        <f t="shared" ca="1" si="183"/>
        <v>25.419022124454969</v>
      </c>
      <c r="F404" s="304">
        <f t="shared" ca="1" si="184"/>
        <v>25.785403936067244</v>
      </c>
      <c r="G404" s="306">
        <f t="shared" ca="1" si="185"/>
        <v>27.396226071789993</v>
      </c>
      <c r="H404" s="307">
        <f t="shared" ca="1" si="186"/>
        <v>222.73034290842776</v>
      </c>
      <c r="I404" s="304">
        <f t="shared" ca="1" si="187"/>
        <v>224.40890992802056</v>
      </c>
      <c r="J404" s="306">
        <f t="shared" ca="1" si="188"/>
        <v>58.920011055005389</v>
      </c>
      <c r="K404" s="307">
        <f t="shared" ca="1" si="189"/>
        <v>517.98064465808443</v>
      </c>
      <c r="L404" s="304">
        <f t="shared" ca="1" si="174"/>
        <v>521.32093372808913</v>
      </c>
      <c r="M404" s="306">
        <f t="shared" ca="1" si="190"/>
        <v>1.4484093032005099</v>
      </c>
      <c r="N404" s="304">
        <f t="shared" ca="1" si="191"/>
        <v>82.987740080873621</v>
      </c>
      <c r="P404" s="310">
        <f t="shared" ca="1" si="192"/>
        <v>13</v>
      </c>
      <c r="Q404" s="304">
        <f t="shared" ca="1" si="193"/>
        <v>624.79000000000565</v>
      </c>
      <c r="R404" s="306">
        <f t="shared" ca="1" si="194"/>
        <v>0.31297746727525899</v>
      </c>
      <c r="S404" s="307">
        <f t="shared" ca="1" si="195"/>
        <v>10.758008091272899</v>
      </c>
      <c r="T404" s="304">
        <f t="shared" ca="1" si="175"/>
        <v>105.53605937538714</v>
      </c>
      <c r="U404" s="311">
        <f t="shared" ca="1" si="176"/>
        <v>0</v>
      </c>
      <c r="V404" s="306">
        <f t="shared" ca="1" si="177"/>
        <v>1.163149245708412</v>
      </c>
      <c r="W404" s="304">
        <f t="shared" ca="1" si="178"/>
        <v>243.44660422099625</v>
      </c>
      <c r="Y404" s="314" t="str">
        <f t="shared" ca="1" si="196"/>
        <v/>
      </c>
      <c r="Z404" s="315" t="str">
        <f t="shared" ca="1" si="197"/>
        <v/>
      </c>
      <c r="AA404" s="316" t="str">
        <f t="shared" ca="1" si="198"/>
        <v/>
      </c>
      <c r="AC404" s="310">
        <f t="shared" ca="1" si="199"/>
        <v>3.9999999999999587</v>
      </c>
      <c r="AD404" s="323">
        <f t="shared" ca="1" si="200"/>
        <v>58.920011055005389</v>
      </c>
      <c r="AE404" s="324">
        <f t="shared" ca="1" si="179"/>
        <v>517.98064465808443</v>
      </c>
      <c r="AG404" s="306">
        <f t="shared" ca="1" si="201"/>
        <v>25.757600863676679</v>
      </c>
      <c r="AH404" s="304">
        <f t="shared" ca="1" si="202"/>
        <v>35.494286444834451</v>
      </c>
    </row>
    <row r="405" spans="1:34" x14ac:dyDescent="0.25">
      <c r="A405" s="347">
        <f t="shared" ca="1" si="180"/>
        <v>0.01</v>
      </c>
      <c r="B405" s="304">
        <f t="shared" ca="1" si="181"/>
        <v>4.0099999999999589</v>
      </c>
      <c r="D405" s="306">
        <f t="shared" ca="1" si="182"/>
        <v>4.3079621991845816</v>
      </c>
      <c r="E405" s="307">
        <f t="shared" ca="1" si="183"/>
        <v>25.213579355294534</v>
      </c>
      <c r="F405" s="304">
        <f t="shared" ca="1" si="184"/>
        <v>25.578958583479078</v>
      </c>
      <c r="G405" s="306">
        <f t="shared" ca="1" si="185"/>
        <v>27.43930569378184</v>
      </c>
      <c r="H405" s="307">
        <f t="shared" ca="1" si="186"/>
        <v>222.98247870198071</v>
      </c>
      <c r="I405" s="304">
        <f t="shared" ca="1" si="187"/>
        <v>224.66441931252953</v>
      </c>
      <c r="J405" s="306">
        <f t="shared" ca="1" si="188"/>
        <v>59.194188713833249</v>
      </c>
      <c r="K405" s="307">
        <f t="shared" ca="1" si="189"/>
        <v>520.2092087661365</v>
      </c>
      <c r="L405" s="304">
        <f t="shared" ca="1" si="174"/>
        <v>523.56620676145508</v>
      </c>
      <c r="M405" s="306">
        <f t="shared" ca="1" si="190"/>
        <v>1.4483559960638763</v>
      </c>
      <c r="N405" s="304">
        <f t="shared" ca="1" si="191"/>
        <v>82.984685806926592</v>
      </c>
      <c r="P405" s="310">
        <f t="shared" ca="1" si="192"/>
        <v>14</v>
      </c>
      <c r="Q405" s="304">
        <f t="shared" ca="1" si="193"/>
        <v>622.96000000000936</v>
      </c>
      <c r="R405" s="306">
        <f t="shared" ca="1" si="194"/>
        <v>0.31206076123785031</v>
      </c>
      <c r="S405" s="307">
        <f t="shared" ca="1" si="195"/>
        <v>10.75488748366052</v>
      </c>
      <c r="T405" s="304">
        <f t="shared" ca="1" si="175"/>
        <v>105.50544621470971</v>
      </c>
      <c r="U405" s="311">
        <f t="shared" ca="1" si="176"/>
        <v>0</v>
      </c>
      <c r="V405" s="306">
        <f t="shared" ca="1" si="177"/>
        <v>1.1628898846249303</v>
      </c>
      <c r="W405" s="304">
        <f t="shared" ca="1" si="178"/>
        <v>243.94688294549931</v>
      </c>
      <c r="Y405" s="314" t="str">
        <f t="shared" ca="1" si="196"/>
        <v/>
      </c>
      <c r="Z405" s="315" t="str">
        <f t="shared" ca="1" si="197"/>
        <v/>
      </c>
      <c r="AA405" s="316" t="str">
        <f t="shared" ca="1" si="198"/>
        <v/>
      </c>
      <c r="AC405" s="310" t="e">
        <f t="shared" ca="1" si="199"/>
        <v>#N/A</v>
      </c>
      <c r="AD405" s="323" t="e">
        <f t="shared" ca="1" si="200"/>
        <v>#N/A</v>
      </c>
      <c r="AE405" s="324">
        <f t="shared" ca="1" si="179"/>
        <v>520.2092087661365</v>
      </c>
      <c r="AG405" s="306">
        <f t="shared" ca="1" si="201"/>
        <v>25.550906530005125</v>
      </c>
      <c r="AH405" s="304">
        <f t="shared" ca="1" si="202"/>
        <v>35.287528238263114</v>
      </c>
    </row>
    <row r="406" spans="1:34" x14ac:dyDescent="0.25">
      <c r="A406" s="347">
        <f t="shared" ca="1" si="180"/>
        <v>0.01</v>
      </c>
      <c r="B406" s="304">
        <f t="shared" ca="1" si="181"/>
        <v>4.0199999999999587</v>
      </c>
      <c r="D406" s="306">
        <f t="shared" ca="1" si="182"/>
        <v>4.2794929854721984</v>
      </c>
      <c r="E406" s="307">
        <f t="shared" ca="1" si="183"/>
        <v>24.966825774588671</v>
      </c>
      <c r="F406" s="304">
        <f t="shared" ca="1" si="184"/>
        <v>25.330938582519419</v>
      </c>
      <c r="G406" s="306">
        <f t="shared" ca="1" si="185"/>
        <v>27.482100623636562</v>
      </c>
      <c r="H406" s="307">
        <f t="shared" ca="1" si="186"/>
        <v>223.23214695972661</v>
      </c>
      <c r="I406" s="304">
        <f t="shared" ca="1" si="187"/>
        <v>224.91744550153655</v>
      </c>
      <c r="J406" s="306">
        <f t="shared" ca="1" si="188"/>
        <v>59.468795745420344</v>
      </c>
      <c r="K406" s="307">
        <f t="shared" ca="1" si="189"/>
        <v>522.44028189444498</v>
      </c>
      <c r="L406" s="304">
        <f t="shared" ca="1" si="174"/>
        <v>525.81402207753808</v>
      </c>
      <c r="M406" s="306">
        <f t="shared" ca="1" si="190"/>
        <v>1.4483027258199097</v>
      </c>
      <c r="N406" s="304">
        <f t="shared" ca="1" si="191"/>
        <v>82.981633646773673</v>
      </c>
      <c r="P406" s="310">
        <f t="shared" ca="1" si="192"/>
        <v>14</v>
      </c>
      <c r="Q406" s="304">
        <f t="shared" ca="1" si="193"/>
        <v>620.68000000000939</v>
      </c>
      <c r="R406" s="306">
        <f t="shared" ca="1" si="194"/>
        <v>0.31091863568304379</v>
      </c>
      <c r="S406" s="307">
        <f t="shared" ca="1" si="195"/>
        <v>10.751778297303689</v>
      </c>
      <c r="T406" s="304">
        <f t="shared" ca="1" si="175"/>
        <v>105.47494509654919</v>
      </c>
      <c r="U406" s="311">
        <f t="shared" ca="1" si="176"/>
        <v>0</v>
      </c>
      <c r="V406" s="306">
        <f t="shared" ca="1" si="177"/>
        <v>1.1626302879647981</v>
      </c>
      <c r="W406" s="304">
        <f t="shared" ca="1" si="178"/>
        <v>244.44209814428939</v>
      </c>
      <c r="Y406" s="314" t="str">
        <f t="shared" ca="1" si="196"/>
        <v/>
      </c>
      <c r="Z406" s="315" t="str">
        <f t="shared" ca="1" si="197"/>
        <v/>
      </c>
      <c r="AA406" s="316" t="str">
        <f t="shared" ca="1" si="198"/>
        <v/>
      </c>
      <c r="AC406" s="310" t="e">
        <f t="shared" ca="1" si="199"/>
        <v>#N/A</v>
      </c>
      <c r="AD406" s="323" t="e">
        <f t="shared" ca="1" si="200"/>
        <v>#N/A</v>
      </c>
      <c r="AE406" s="324">
        <f t="shared" ca="1" si="179"/>
        <v>522.44028189444498</v>
      </c>
      <c r="AG406" s="306">
        <f t="shared" ca="1" si="201"/>
        <v>25.302586988076833</v>
      </c>
      <c r="AH406" s="304">
        <f t="shared" ca="1" si="202"/>
        <v>35.039144840717796</v>
      </c>
    </row>
    <row r="407" spans="1:34" x14ac:dyDescent="0.25">
      <c r="A407" s="347">
        <f t="shared" ca="1" si="180"/>
        <v>0.01</v>
      </c>
      <c r="B407" s="304">
        <f t="shared" ca="1" si="181"/>
        <v>4.0299999999999585</v>
      </c>
      <c r="D407" s="306">
        <f t="shared" ca="1" si="182"/>
        <v>4.2510316884124126</v>
      </c>
      <c r="E407" s="307">
        <f t="shared" ca="1" si="183"/>
        <v>24.720363729981919</v>
      </c>
      <c r="F407" s="304">
        <f t="shared" ca="1" si="184"/>
        <v>25.083214573863774</v>
      </c>
      <c r="G407" s="306">
        <f t="shared" ca="1" si="185"/>
        <v>27.524610940520684</v>
      </c>
      <c r="H407" s="307">
        <f t="shared" ca="1" si="186"/>
        <v>223.47935059702644</v>
      </c>
      <c r="I407" s="304">
        <f t="shared" ca="1" si="187"/>
        <v>225.16799139907894</v>
      </c>
      <c r="J407" s="306">
        <f t="shared" ca="1" si="188"/>
        <v>59.743829303241128</v>
      </c>
      <c r="K407" s="307">
        <f t="shared" ca="1" si="189"/>
        <v>524.67383938222872</v>
      </c>
      <c r="L407" s="304">
        <f t="shared" ca="1" si="174"/>
        <v>528.06435485829149</v>
      </c>
      <c r="M407" s="306">
        <f t="shared" ca="1" si="190"/>
        <v>1.448249491815419</v>
      </c>
      <c r="N407" s="304">
        <f t="shared" ca="1" si="191"/>
        <v>82.978583562989769</v>
      </c>
      <c r="P407" s="310">
        <f t="shared" ca="1" si="192"/>
        <v>14</v>
      </c>
      <c r="Q407" s="304">
        <f t="shared" ca="1" si="193"/>
        <v>618.40000000000941</v>
      </c>
      <c r="R407" s="306">
        <f t="shared" ca="1" si="194"/>
        <v>0.30977651012823726</v>
      </c>
      <c r="S407" s="307">
        <f t="shared" ca="1" si="195"/>
        <v>10.748680532202407</v>
      </c>
      <c r="T407" s="304">
        <f t="shared" ca="1" si="175"/>
        <v>105.44455602090562</v>
      </c>
      <c r="U407" s="311">
        <f t="shared" ca="1" si="176"/>
        <v>0</v>
      </c>
      <c r="V407" s="306">
        <f t="shared" ca="1" si="177"/>
        <v>1.1623704587685109</v>
      </c>
      <c r="W407" s="304">
        <f t="shared" ca="1" si="178"/>
        <v>244.93224142262594</v>
      </c>
      <c r="Y407" s="314" t="str">
        <f t="shared" ca="1" si="196"/>
        <v/>
      </c>
      <c r="Z407" s="315" t="str">
        <f t="shared" ca="1" si="197"/>
        <v/>
      </c>
      <c r="AA407" s="316" t="str">
        <f t="shared" ca="1" si="198"/>
        <v/>
      </c>
      <c r="AC407" s="310" t="e">
        <f t="shared" ca="1" si="199"/>
        <v>#N/A</v>
      </c>
      <c r="AD407" s="323" t="e">
        <f t="shared" ca="1" si="200"/>
        <v>#N/A</v>
      </c>
      <c r="AE407" s="324">
        <f t="shared" ca="1" si="179"/>
        <v>524.67383938222872</v>
      </c>
      <c r="AG407" s="306">
        <f t="shared" ca="1" si="201"/>
        <v>25.054557849519682</v>
      </c>
      <c r="AH407" s="304">
        <f t="shared" ca="1" si="202"/>
        <v>34.791051863097465</v>
      </c>
    </row>
    <row r="408" spans="1:34" x14ac:dyDescent="0.25">
      <c r="A408" s="347">
        <f t="shared" ca="1" si="180"/>
        <v>0.01</v>
      </c>
      <c r="B408" s="304">
        <f t="shared" ca="1" si="181"/>
        <v>4.0399999999999583</v>
      </c>
      <c r="D408" s="306">
        <f t="shared" ca="1" si="182"/>
        <v>4.2225786268965857</v>
      </c>
      <c r="E408" s="307">
        <f t="shared" ca="1" si="183"/>
        <v>24.474195021790948</v>
      </c>
      <c r="F408" s="304">
        <f t="shared" ca="1" si="184"/>
        <v>24.835788536404085</v>
      </c>
      <c r="G408" s="306">
        <f t="shared" ca="1" si="185"/>
        <v>27.566836726789649</v>
      </c>
      <c r="H408" s="307">
        <f t="shared" ca="1" si="186"/>
        <v>223.72409254724434</v>
      </c>
      <c r="I408" s="304">
        <f t="shared" ca="1" si="187"/>
        <v>225.41605992743601</v>
      </c>
      <c r="J408" s="306">
        <f t="shared" ca="1" si="188"/>
        <v>60.019286541577678</v>
      </c>
      <c r="K408" s="307">
        <f t="shared" ca="1" si="189"/>
        <v>526.90985659795012</v>
      </c>
      <c r="L408" s="304">
        <f t="shared" ca="1" si="174"/>
        <v>530.31718031479272</v>
      </c>
      <c r="M408" s="306">
        <f t="shared" ca="1" si="190"/>
        <v>1.4481962934009944</v>
      </c>
      <c r="N408" s="304">
        <f t="shared" ca="1" si="191"/>
        <v>82.975535518366456</v>
      </c>
      <c r="P408" s="310">
        <f t="shared" ca="1" si="192"/>
        <v>14</v>
      </c>
      <c r="Q408" s="304">
        <f t="shared" ca="1" si="193"/>
        <v>616.12000000000944</v>
      </c>
      <c r="R408" s="306">
        <f t="shared" ca="1" si="194"/>
        <v>0.30863438457343073</v>
      </c>
      <c r="S408" s="307">
        <f t="shared" ca="1" si="195"/>
        <v>10.745594188356673</v>
      </c>
      <c r="T408" s="304">
        <f t="shared" ca="1" si="175"/>
        <v>105.41427898777897</v>
      </c>
      <c r="U408" s="311">
        <f t="shared" ca="1" si="176"/>
        <v>0</v>
      </c>
      <c r="V408" s="306">
        <f t="shared" ca="1" si="177"/>
        <v>1.1621104000707621</v>
      </c>
      <c r="W408" s="304">
        <f t="shared" ca="1" si="178"/>
        <v>245.41730465288248</v>
      </c>
      <c r="Y408" s="314" t="str">
        <f t="shared" ca="1" si="196"/>
        <v/>
      </c>
      <c r="Z408" s="315" t="str">
        <f t="shared" ca="1" si="197"/>
        <v/>
      </c>
      <c r="AA408" s="316" t="str">
        <f t="shared" ca="1" si="198"/>
        <v/>
      </c>
      <c r="AC408" s="310" t="e">
        <f t="shared" ca="1" si="199"/>
        <v>#N/A</v>
      </c>
      <c r="AD408" s="323" t="e">
        <f t="shared" ca="1" si="200"/>
        <v>#N/A</v>
      </c>
      <c r="AE408" s="324">
        <f t="shared" ca="1" si="179"/>
        <v>526.90985659795012</v>
      </c>
      <c r="AG408" s="306">
        <f t="shared" ca="1" si="201"/>
        <v>24.806820938532177</v>
      </c>
      <c r="AH408" s="304">
        <f t="shared" ca="1" si="202"/>
        <v>34.543251128874928</v>
      </c>
    </row>
    <row r="409" spans="1:34" x14ac:dyDescent="0.25">
      <c r="A409" s="347">
        <f t="shared" ca="1" si="180"/>
        <v>0.01</v>
      </c>
      <c r="B409" s="304">
        <f t="shared" ca="1" si="181"/>
        <v>4.0499999999999581</v>
      </c>
      <c r="D409" s="306">
        <f t="shared" ca="1" si="182"/>
        <v>4.194134116353009</v>
      </c>
      <c r="E409" s="307">
        <f t="shared" ca="1" si="183"/>
        <v>24.228321425927007</v>
      </c>
      <c r="F409" s="304">
        <f t="shared" ca="1" si="184"/>
        <v>24.588662430152436</v>
      </c>
      <c r="G409" s="306">
        <f t="shared" ca="1" si="185"/>
        <v>27.608778067953178</v>
      </c>
      <c r="H409" s="307">
        <f t="shared" ca="1" si="186"/>
        <v>223.9663757615036</v>
      </c>
      <c r="I409" s="304">
        <f t="shared" ca="1" si="187"/>
        <v>225.66165402688273</v>
      </c>
      <c r="J409" s="306">
        <f t="shared" ca="1" si="188"/>
        <v>60.295164615551393</v>
      </c>
      <c r="K409" s="307">
        <f t="shared" ca="1" si="189"/>
        <v>529.14830893949386</v>
      </c>
      <c r="L409" s="304">
        <f t="shared" ca="1" si="174"/>
        <v>532.57247368742446</v>
      </c>
      <c r="M409" s="306">
        <f t="shared" ca="1" si="190"/>
        <v>1.4481431299309524</v>
      </c>
      <c r="N409" s="304">
        <f t="shared" ca="1" si="191"/>
        <v>82.972489475908773</v>
      </c>
      <c r="P409" s="310">
        <f t="shared" ca="1" si="192"/>
        <v>14</v>
      </c>
      <c r="Q409" s="304">
        <f t="shared" ca="1" si="193"/>
        <v>613.84000000000947</v>
      </c>
      <c r="R409" s="306">
        <f t="shared" ca="1" si="194"/>
        <v>0.3074922590186242</v>
      </c>
      <c r="S409" s="307">
        <f t="shared" ca="1" si="195"/>
        <v>10.742519265766488</v>
      </c>
      <c r="T409" s="304">
        <f t="shared" ca="1" si="175"/>
        <v>105.38411399716925</v>
      </c>
      <c r="U409" s="311">
        <f t="shared" ca="1" si="176"/>
        <v>0</v>
      </c>
      <c r="V409" s="306">
        <f t="shared" ca="1" si="177"/>
        <v>1.1618501149004203</v>
      </c>
      <c r="W409" s="304">
        <f t="shared" ca="1" si="178"/>
        <v>245.89727997313571</v>
      </c>
      <c r="Y409" s="314" t="str">
        <f t="shared" ca="1" si="196"/>
        <v/>
      </c>
      <c r="Z409" s="315" t="str">
        <f t="shared" ca="1" si="197"/>
        <v/>
      </c>
      <c r="AA409" s="316" t="str">
        <f t="shared" ca="1" si="198"/>
        <v/>
      </c>
      <c r="AC409" s="310" t="e">
        <f t="shared" ca="1" si="199"/>
        <v>#N/A</v>
      </c>
      <c r="AD409" s="323" t="e">
        <f t="shared" ca="1" si="200"/>
        <v>#N/A</v>
      </c>
      <c r="AE409" s="324">
        <f t="shared" ca="1" si="179"/>
        <v>529.14830893949386</v>
      </c>
      <c r="AG409" s="306">
        <f t="shared" ca="1" si="201"/>
        <v>24.559378054679708</v>
      </c>
      <c r="AH409" s="304">
        <f t="shared" ca="1" si="202"/>
        <v>34.29574443689301</v>
      </c>
    </row>
    <row r="410" spans="1:34" x14ac:dyDescent="0.25">
      <c r="A410" s="347">
        <f t="shared" ca="1" si="180"/>
        <v>0.01</v>
      </c>
      <c r="B410" s="304">
        <f t="shared" ca="1" si="181"/>
        <v>4.0599999999999579</v>
      </c>
      <c r="D410" s="306">
        <f t="shared" ca="1" si="182"/>
        <v>4.1656984687575989</v>
      </c>
      <c r="E410" s="307">
        <f t="shared" ca="1" si="183"/>
        <v>23.982744693972343</v>
      </c>
      <c r="F410" s="304">
        <f t="shared" ca="1" si="184"/>
        <v>24.341838196587947</v>
      </c>
      <c r="G410" s="306">
        <f t="shared" ca="1" si="185"/>
        <v>27.650435052640756</v>
      </c>
      <c r="H410" s="307">
        <f t="shared" ca="1" si="186"/>
        <v>224.20620320844333</v>
      </c>
      <c r="I410" s="304">
        <f t="shared" ca="1" si="187"/>
        <v>225.90477665544412</v>
      </c>
      <c r="J410" s="306">
        <f t="shared" ca="1" si="188"/>
        <v>60.571460681154363</v>
      </c>
      <c r="K410" s="307">
        <f t="shared" ca="1" si="189"/>
        <v>531.38917183434364</v>
      </c>
      <c r="L410" s="304">
        <f t="shared" ca="1" si="174"/>
        <v>534.83021024605387</v>
      </c>
      <c r="M410" s="306">
        <f t="shared" ca="1" si="190"/>
        <v>1.4480900007632806</v>
      </c>
      <c r="N410" s="304">
        <f t="shared" ca="1" si="191"/>
        <v>82.969445398832136</v>
      </c>
      <c r="P410" s="310">
        <f t="shared" ca="1" si="192"/>
        <v>14</v>
      </c>
      <c r="Q410" s="304">
        <f t="shared" ca="1" si="193"/>
        <v>611.5600000000095</v>
      </c>
      <c r="R410" s="306">
        <f t="shared" ca="1" si="194"/>
        <v>0.30635013346381768</v>
      </c>
      <c r="S410" s="307">
        <f t="shared" ca="1" si="195"/>
        <v>10.739455764431849</v>
      </c>
      <c r="T410" s="304">
        <f t="shared" ca="1" si="175"/>
        <v>105.35406104907645</v>
      </c>
      <c r="U410" s="311">
        <f t="shared" ca="1" si="176"/>
        <v>0</v>
      </c>
      <c r="V410" s="306">
        <f t="shared" ca="1" si="177"/>
        <v>1.1615896062805076</v>
      </c>
      <c r="W410" s="304">
        <f t="shared" ca="1" si="178"/>
        <v>246.37215978574673</v>
      </c>
      <c r="Y410" s="314" t="str">
        <f t="shared" ca="1" si="196"/>
        <v/>
      </c>
      <c r="Z410" s="315" t="str">
        <f t="shared" ca="1" si="197"/>
        <v/>
      </c>
      <c r="AA410" s="316" t="str">
        <f t="shared" ca="1" si="198"/>
        <v/>
      </c>
      <c r="AC410" s="310" t="e">
        <f t="shared" ca="1" si="199"/>
        <v>#N/A</v>
      </c>
      <c r="AD410" s="323" t="e">
        <f t="shared" ca="1" si="200"/>
        <v>#N/A</v>
      </c>
      <c r="AE410" s="324">
        <f t="shared" ca="1" si="179"/>
        <v>531.38917183434364</v>
      </c>
      <c r="AG410" s="306">
        <f t="shared" ca="1" si="201"/>
        <v>24.312230972971498</v>
      </c>
      <c r="AH410" s="304">
        <f t="shared" ca="1" si="202"/>
        <v>34.048533561441459</v>
      </c>
    </row>
    <row r="411" spans="1:34" x14ac:dyDescent="0.25">
      <c r="A411" s="347">
        <f t="shared" ca="1" si="180"/>
        <v>0.01</v>
      </c>
      <c r="B411" s="304">
        <f t="shared" ca="1" si="181"/>
        <v>4.0699999999999577</v>
      </c>
      <c r="D411" s="306">
        <f t="shared" ca="1" si="182"/>
        <v>4.1372719926446635</v>
      </c>
      <c r="E411" s="307">
        <f t="shared" ca="1" si="183"/>
        <v>23.737466553257711</v>
      </c>
      <c r="F411" s="304">
        <f t="shared" ca="1" si="184"/>
        <v>24.095317759020123</v>
      </c>
      <c r="G411" s="306">
        <f t="shared" ca="1" si="185"/>
        <v>27.691807772567202</v>
      </c>
      <c r="H411" s="307">
        <f t="shared" ca="1" si="186"/>
        <v>224.4435778739759</v>
      </c>
      <c r="I411" s="304">
        <f t="shared" ca="1" si="187"/>
        <v>226.14543078865046</v>
      </c>
      <c r="J411" s="306">
        <f t="shared" ca="1" si="188"/>
        <v>60.848171895280402</v>
      </c>
      <c r="K411" s="307">
        <f t="shared" ca="1" si="189"/>
        <v>533.63242073975573</v>
      </c>
      <c r="L411" s="304">
        <f t="shared" ca="1" si="174"/>
        <v>537.09036529020818</v>
      </c>
      <c r="M411" s="306">
        <f t="shared" ca="1" si="190"/>
        <v>1.4480369052595843</v>
      </c>
      <c r="N411" s="304">
        <f t="shared" ca="1" si="191"/>
        <v>82.966403250559225</v>
      </c>
      <c r="P411" s="310">
        <f t="shared" ca="1" si="192"/>
        <v>14</v>
      </c>
      <c r="Q411" s="304">
        <f t="shared" ca="1" si="193"/>
        <v>609.28000000000952</v>
      </c>
      <c r="R411" s="306">
        <f t="shared" ca="1" si="194"/>
        <v>0.30520800790901115</v>
      </c>
      <c r="S411" s="307">
        <f t="shared" ca="1" si="195"/>
        <v>10.736403684352759</v>
      </c>
      <c r="T411" s="304">
        <f t="shared" ca="1" si="175"/>
        <v>105.32412014350056</v>
      </c>
      <c r="U411" s="311">
        <f t="shared" ca="1" si="176"/>
        <v>0</v>
      </c>
      <c r="V411" s="306">
        <f t="shared" ca="1" si="177"/>
        <v>1.1613288772281773</v>
      </c>
      <c r="W411" s="304">
        <f t="shared" ca="1" si="178"/>
        <v>246.84193675593636</v>
      </c>
      <c r="Y411" s="314" t="str">
        <f t="shared" ca="1" si="196"/>
        <v/>
      </c>
      <c r="Z411" s="315" t="str">
        <f t="shared" ca="1" si="197"/>
        <v/>
      </c>
      <c r="AA411" s="316" t="str">
        <f t="shared" ca="1" si="198"/>
        <v/>
      </c>
      <c r="AC411" s="310" t="e">
        <f t="shared" ca="1" si="199"/>
        <v>#N/A</v>
      </c>
      <c r="AD411" s="323" t="e">
        <f t="shared" ca="1" si="200"/>
        <v>#N/A</v>
      </c>
      <c r="AE411" s="324">
        <f t="shared" ca="1" si="179"/>
        <v>533.63242073975573</v>
      </c>
      <c r="AG411" s="306">
        <f t="shared" ca="1" si="201"/>
        <v>24.065381443938769</v>
      </c>
      <c r="AH411" s="304">
        <f t="shared" ca="1" si="202"/>
        <v>33.801620252335049</v>
      </c>
    </row>
    <row r="412" spans="1:34" x14ac:dyDescent="0.25">
      <c r="A412" s="347">
        <f t="shared" ca="1" si="180"/>
        <v>0.01</v>
      </c>
      <c r="B412" s="304">
        <f t="shared" ca="1" si="181"/>
        <v>4.0799999999999574</v>
      </c>
      <c r="D412" s="306">
        <f t="shared" ca="1" si="182"/>
        <v>4.1088549931177596</v>
      </c>
      <c r="E412" s="307">
        <f t="shared" ca="1" si="183"/>
        <v>23.492488706940982</v>
      </c>
      <c r="F412" s="304">
        <f t="shared" ca="1" si="184"/>
        <v>23.849103022969611</v>
      </c>
      <c r="G412" s="306">
        <f t="shared" ca="1" si="185"/>
        <v>27.73289632249838</v>
      </c>
      <c r="H412" s="307">
        <f t="shared" ca="1" si="186"/>
        <v>224.67850276104531</v>
      </c>
      <c r="I412" s="304">
        <f t="shared" ca="1" si="187"/>
        <v>226.38361941929341</v>
      </c>
      <c r="J412" s="306">
        <f t="shared" ca="1" si="188"/>
        <v>61.12529541575573</v>
      </c>
      <c r="K412" s="307">
        <f t="shared" ca="1" si="189"/>
        <v>535.87803114293081</v>
      </c>
      <c r="L412" s="304">
        <f t="shared" ca="1" si="174"/>
        <v>539.35291414924916</v>
      </c>
      <c r="M412" s="306">
        <f t="shared" ca="1" si="190"/>
        <v>1.4479838427850322</v>
      </c>
      <c r="N412" s="304">
        <f t="shared" ca="1" si="191"/>
        <v>82.96336299471686</v>
      </c>
      <c r="P412" s="310">
        <f t="shared" ca="1" si="192"/>
        <v>14</v>
      </c>
      <c r="Q412" s="304">
        <f t="shared" ca="1" si="193"/>
        <v>607.00000000000955</v>
      </c>
      <c r="R412" s="306">
        <f t="shared" ca="1" si="194"/>
        <v>0.30406588235420456</v>
      </c>
      <c r="S412" s="307">
        <f t="shared" ca="1" si="195"/>
        <v>10.733363025529217</v>
      </c>
      <c r="T412" s="304">
        <f t="shared" ca="1" si="175"/>
        <v>105.29429128044163</v>
      </c>
      <c r="U412" s="311">
        <f t="shared" ca="1" si="176"/>
        <v>0</v>
      </c>
      <c r="V412" s="306">
        <f t="shared" ca="1" si="177"/>
        <v>1.1610679307546945</v>
      </c>
      <c r="W412" s="304">
        <f t="shared" ca="1" si="178"/>
        <v>247.30660381035386</v>
      </c>
      <c r="Y412" s="314" t="str">
        <f t="shared" ca="1" si="196"/>
        <v/>
      </c>
      <c r="Z412" s="315" t="str">
        <f t="shared" ca="1" si="197"/>
        <v/>
      </c>
      <c r="AA412" s="316" t="str">
        <f t="shared" ca="1" si="198"/>
        <v/>
      </c>
      <c r="AC412" s="310" t="e">
        <f t="shared" ca="1" si="199"/>
        <v>#N/A</v>
      </c>
      <c r="AD412" s="323" t="e">
        <f t="shared" ca="1" si="200"/>
        <v>#N/A</v>
      </c>
      <c r="AE412" s="324">
        <f t="shared" ca="1" si="179"/>
        <v>535.87803114293081</v>
      </c>
      <c r="AG412" s="306">
        <f t="shared" ca="1" si="201"/>
        <v>23.818831193713912</v>
      </c>
      <c r="AH412" s="304">
        <f t="shared" ca="1" si="202"/>
        <v>33.555006234992725</v>
      </c>
    </row>
    <row r="413" spans="1:34" x14ac:dyDescent="0.25">
      <c r="A413" s="347">
        <f t="shared" ca="1" si="180"/>
        <v>0.01</v>
      </c>
      <c r="B413" s="304">
        <f t="shared" ca="1" si="181"/>
        <v>4.0899999999999572</v>
      </c>
      <c r="D413" s="306">
        <f t="shared" ca="1" si="182"/>
        <v>4.0804477718606345</v>
      </c>
      <c r="E413" s="307">
        <f t="shared" ca="1" si="183"/>
        <v>23.247812834086957</v>
      </c>
      <c r="F413" s="304">
        <f t="shared" ca="1" si="184"/>
        <v>23.603195876567661</v>
      </c>
      <c r="G413" s="306">
        <f t="shared" ca="1" si="185"/>
        <v>27.773700800216986</v>
      </c>
      <c r="H413" s="307">
        <f t="shared" ca="1" si="186"/>
        <v>224.91098088938617</v>
      </c>
      <c r="I413" s="304">
        <f t="shared" ca="1" si="187"/>
        <v>226.61934555718275</v>
      </c>
      <c r="J413" s="306">
        <f t="shared" ca="1" si="188"/>
        <v>61.402828401369305</v>
      </c>
      <c r="K413" s="307">
        <f t="shared" ca="1" si="189"/>
        <v>538.12597856118293</v>
      </c>
      <c r="L413" s="304">
        <f t="shared" ca="1" si="174"/>
        <v>541.61783218254425</v>
      </c>
      <c r="M413" s="306">
        <f t="shared" ca="1" si="190"/>
        <v>1.4479308127083044</v>
      </c>
      <c r="N413" s="304">
        <f t="shared" ca="1" si="191"/>
        <v>82.960324595133102</v>
      </c>
      <c r="P413" s="310">
        <f t="shared" ca="1" si="192"/>
        <v>14</v>
      </c>
      <c r="Q413" s="304">
        <f t="shared" ca="1" si="193"/>
        <v>604.72000000000958</v>
      </c>
      <c r="R413" s="306">
        <f t="shared" ca="1" si="194"/>
        <v>0.30292375679939804</v>
      </c>
      <c r="S413" s="307">
        <f t="shared" ca="1" si="195"/>
        <v>10.730333787961223</v>
      </c>
      <c r="T413" s="304">
        <f t="shared" ca="1" si="175"/>
        <v>105.26457445989961</v>
      </c>
      <c r="U413" s="311">
        <f t="shared" ca="1" si="176"/>
        <v>0</v>
      </c>
      <c r="V413" s="306">
        <f t="shared" ca="1" si="177"/>
        <v>1.1608067698654139</v>
      </c>
      <c r="W413" s="304">
        <f t="shared" ca="1" si="178"/>
        <v>247.7661541356384</v>
      </c>
      <c r="Y413" s="314" t="str">
        <f t="shared" ca="1" si="196"/>
        <v/>
      </c>
      <c r="Z413" s="315" t="str">
        <f t="shared" ca="1" si="197"/>
        <v/>
      </c>
      <c r="AA413" s="316" t="str">
        <f t="shared" ca="1" si="198"/>
        <v/>
      </c>
      <c r="AC413" s="310" t="e">
        <f t="shared" ca="1" si="199"/>
        <v>#N/A</v>
      </c>
      <c r="AD413" s="323" t="e">
        <f t="shared" ca="1" si="200"/>
        <v>#N/A</v>
      </c>
      <c r="AE413" s="324">
        <f t="shared" ca="1" si="179"/>
        <v>538.12597856118293</v>
      </c>
      <c r="AG413" s="306">
        <f t="shared" ca="1" si="201"/>
        <v>23.572581924110963</v>
      </c>
      <c r="AH413" s="304">
        <f t="shared" ca="1" si="202"/>
        <v>33.308693210517987</v>
      </c>
    </row>
    <row r="414" spans="1:34" x14ac:dyDescent="0.25">
      <c r="A414" s="347">
        <f t="shared" ca="1" si="180"/>
        <v>0.01</v>
      </c>
      <c r="B414" s="304">
        <f t="shared" ca="1" si="181"/>
        <v>4.099999999999957</v>
      </c>
      <c r="D414" s="306">
        <f t="shared" ca="1" si="182"/>
        <v>4.0520506271482502</v>
      </c>
      <c r="E414" s="307">
        <f t="shared" ca="1" si="183"/>
        <v>23.003440589748315</v>
      </c>
      <c r="F414" s="304">
        <f t="shared" ca="1" si="184"/>
        <v>23.357598190975306</v>
      </c>
      <c r="G414" s="306">
        <f t="shared" ca="1" si="185"/>
        <v>27.81422130648847</v>
      </c>
      <c r="H414" s="307">
        <f t="shared" ca="1" si="186"/>
        <v>225.14101529528364</v>
      </c>
      <c r="I414" s="304">
        <f t="shared" ca="1" si="187"/>
        <v>226.85261222890395</v>
      </c>
      <c r="J414" s="306">
        <f t="shared" ca="1" si="188"/>
        <v>61.680768011902835</v>
      </c>
      <c r="K414" s="307">
        <f t="shared" ca="1" si="189"/>
        <v>540.37623854210631</v>
      </c>
      <c r="L414" s="304">
        <f t="shared" ca="1" si="174"/>
        <v>543.88509477963589</v>
      </c>
      <c r="M414" s="306">
        <f t="shared" ca="1" si="190"/>
        <v>1.4478778144015396</v>
      </c>
      <c r="N414" s="304">
        <f t="shared" ca="1" si="191"/>
        <v>82.957288015834138</v>
      </c>
      <c r="P414" s="310">
        <f t="shared" ca="1" si="192"/>
        <v>14</v>
      </c>
      <c r="Q414" s="304">
        <f t="shared" ca="1" si="193"/>
        <v>602.4400000000096</v>
      </c>
      <c r="R414" s="306">
        <f t="shared" ca="1" si="194"/>
        <v>0.30178163124459151</v>
      </c>
      <c r="S414" s="307">
        <f t="shared" ca="1" si="195"/>
        <v>10.727315971648776</v>
      </c>
      <c r="T414" s="304">
        <f t="shared" ca="1" si="175"/>
        <v>105.2349696818745</v>
      </c>
      <c r="U414" s="311">
        <f t="shared" ca="1" si="176"/>
        <v>0</v>
      </c>
      <c r="V414" s="306">
        <f t="shared" ca="1" si="177"/>
        <v>1.160545397559761</v>
      </c>
      <c r="W414" s="304">
        <f t="shared" ca="1" si="178"/>
        <v>248.22058117697489</v>
      </c>
      <c r="Y414" s="314" t="str">
        <f t="shared" ca="1" si="196"/>
        <v/>
      </c>
      <c r="Z414" s="315" t="str">
        <f t="shared" ca="1" si="197"/>
        <v/>
      </c>
      <c r="AA414" s="316" t="str">
        <f t="shared" ca="1" si="198"/>
        <v/>
      </c>
      <c r="AC414" s="310" t="e">
        <f t="shared" ca="1" si="199"/>
        <v>#N/A</v>
      </c>
      <c r="AD414" s="323" t="e">
        <f t="shared" ca="1" si="200"/>
        <v>#N/A</v>
      </c>
      <c r="AE414" s="324">
        <f t="shared" ca="1" si="179"/>
        <v>540.37623854210631</v>
      </c>
      <c r="AG414" s="306">
        <f t="shared" ca="1" si="201"/>
        <v>23.32663531270714</v>
      </c>
      <c r="AH414" s="304">
        <f t="shared" ca="1" si="202"/>
        <v>33.062682855780395</v>
      </c>
    </row>
    <row r="415" spans="1:34" x14ac:dyDescent="0.25">
      <c r="A415" s="347">
        <f t="shared" ca="1" si="180"/>
        <v>0.01</v>
      </c>
      <c r="B415" s="304">
        <f t="shared" ca="1" si="181"/>
        <v>4.1099999999999568</v>
      </c>
      <c r="D415" s="306">
        <f t="shared" ca="1" si="182"/>
        <v>3.9953439207075094</v>
      </c>
      <c r="E415" s="307">
        <f t="shared" ca="1" si="183"/>
        <v>22.530139127033202</v>
      </c>
      <c r="F415" s="304">
        <f t="shared" ca="1" si="184"/>
        <v>22.881650773670305</v>
      </c>
      <c r="G415" s="306">
        <f t="shared" ca="1" si="185"/>
        <v>27.854174745695545</v>
      </c>
      <c r="H415" s="307">
        <f t="shared" ca="1" si="186"/>
        <v>225.36631668655397</v>
      </c>
      <c r="I415" s="304">
        <f t="shared" ca="1" si="187"/>
        <v>227.08111270563185</v>
      </c>
      <c r="J415" s="306">
        <f t="shared" ca="1" si="188"/>
        <v>61.959109992163754</v>
      </c>
      <c r="K415" s="307">
        <f t="shared" ca="1" si="189"/>
        <v>542.6287752020155</v>
      </c>
      <c r="L415" s="304">
        <f t="shared" ca="1" si="174"/>
        <v>546.15466581203941</v>
      </c>
      <c r="M415" s="306">
        <f t="shared" ca="1" si="190"/>
        <v>1.4478248467015249</v>
      </c>
      <c r="N415" s="304">
        <f t="shared" ca="1" si="191"/>
        <v>82.954253190172778</v>
      </c>
      <c r="P415" s="310">
        <f t="shared" ca="1" si="192"/>
        <v>15</v>
      </c>
      <c r="Q415" s="304">
        <f t="shared" ca="1" si="193"/>
        <v>597.6833333333642</v>
      </c>
      <c r="R415" s="306">
        <f t="shared" ca="1" si="194"/>
        <v>0.299398863457016</v>
      </c>
      <c r="S415" s="307">
        <f t="shared" ca="1" si="195"/>
        <v>10.724321983014207</v>
      </c>
      <c r="T415" s="304">
        <f t="shared" ca="1" si="175"/>
        <v>105.20559865336938</v>
      </c>
      <c r="U415" s="311">
        <f t="shared" ca="1" si="176"/>
        <v>0</v>
      </c>
      <c r="V415" s="306">
        <f t="shared" ca="1" si="177"/>
        <v>1.1602838181620765</v>
      </c>
      <c r="W415" s="304">
        <f t="shared" ca="1" si="178"/>
        <v>248.66482027177381</v>
      </c>
      <c r="Y415" s="314" t="str">
        <f t="shared" ca="1" si="196"/>
        <v/>
      </c>
      <c r="Z415" s="315" t="str">
        <f t="shared" ca="1" si="197"/>
        <v/>
      </c>
      <c r="AA415" s="316" t="str">
        <f t="shared" ca="1" si="198"/>
        <v/>
      </c>
      <c r="AC415" s="310" t="e">
        <f t="shared" ca="1" si="199"/>
        <v>#N/A</v>
      </c>
      <c r="AD415" s="323" t="e">
        <f t="shared" ca="1" si="200"/>
        <v>#N/A</v>
      </c>
      <c r="AE415" s="324">
        <f t="shared" ca="1" si="179"/>
        <v>542.6287752020155</v>
      </c>
      <c r="AG415" s="306">
        <f t="shared" ca="1" si="201"/>
        <v>22.85001581811138</v>
      </c>
      <c r="AH415" s="304">
        <f t="shared" ca="1" si="202"/>
        <v>32.585999628684071</v>
      </c>
    </row>
    <row r="416" spans="1:34" x14ac:dyDescent="0.25">
      <c r="A416" s="347">
        <f t="shared" ca="1" si="180"/>
        <v>0.01</v>
      </c>
      <c r="B416" s="304">
        <f t="shared" ca="1" si="181"/>
        <v>4.1199999999999566</v>
      </c>
      <c r="D416" s="306">
        <f t="shared" ca="1" si="182"/>
        <v>3.910321440570558</v>
      </c>
      <c r="E416" s="307">
        <f t="shared" ca="1" si="183"/>
        <v>21.828156512177067</v>
      </c>
      <c r="F416" s="304">
        <f t="shared" ca="1" si="184"/>
        <v>22.175640475275657</v>
      </c>
      <c r="G416" s="306">
        <f t="shared" ca="1" si="185"/>
        <v>27.893277960101251</v>
      </c>
      <c r="H416" s="307">
        <f t="shared" ca="1" si="186"/>
        <v>225.58459825167574</v>
      </c>
      <c r="I416" s="304">
        <f t="shared" ca="1" si="187"/>
        <v>227.30254271285534</v>
      </c>
      <c r="J416" s="306">
        <f t="shared" ca="1" si="188"/>
        <v>62.237847255692735</v>
      </c>
      <c r="K416" s="307">
        <f t="shared" ca="1" si="189"/>
        <v>544.88352977670661</v>
      </c>
      <c r="L416" s="304">
        <f t="shared" ca="1" si="174"/>
        <v>548.42648609722175</v>
      </c>
      <c r="M416" s="306">
        <f t="shared" ca="1" si="190"/>
        <v>1.4477719079133224</v>
      </c>
      <c r="N416" s="304">
        <f t="shared" ca="1" si="191"/>
        <v>82.951220021036249</v>
      </c>
      <c r="P416" s="310">
        <f t="shared" ca="1" si="192"/>
        <v>15</v>
      </c>
      <c r="Q416" s="304">
        <f t="shared" ca="1" si="193"/>
        <v>590.45000000003108</v>
      </c>
      <c r="R416" s="306">
        <f t="shared" ca="1" si="194"/>
        <v>0.29577545343665029</v>
      </c>
      <c r="S416" s="307">
        <f t="shared" ca="1" si="195"/>
        <v>10.721364228479841</v>
      </c>
      <c r="T416" s="304">
        <f t="shared" ca="1" si="175"/>
        <v>105.17658308138725</v>
      </c>
      <c r="U416" s="311">
        <f t="shared" ca="1" si="176"/>
        <v>0</v>
      </c>
      <c r="V416" s="306">
        <f t="shared" ca="1" si="177"/>
        <v>1.1600220386492772</v>
      </c>
      <c r="W416" s="304">
        <f t="shared" ca="1" si="178"/>
        <v>249.09379746013792</v>
      </c>
      <c r="Y416" s="314" t="str">
        <f t="shared" ca="1" si="196"/>
        <v/>
      </c>
      <c r="Z416" s="315" t="str">
        <f t="shared" ca="1" si="197"/>
        <v/>
      </c>
      <c r="AA416" s="316" t="str">
        <f t="shared" ca="1" si="198"/>
        <v/>
      </c>
      <c r="AC416" s="310" t="e">
        <f t="shared" ca="1" si="199"/>
        <v>#N/A</v>
      </c>
      <c r="AD416" s="323" t="e">
        <f t="shared" ca="1" si="200"/>
        <v>#N/A</v>
      </c>
      <c r="AE416" s="324">
        <f t="shared" ca="1" si="179"/>
        <v>544.88352977670661</v>
      </c>
      <c r="AG416" s="306">
        <f t="shared" ca="1" si="201"/>
        <v>22.142968871403404</v>
      </c>
      <c r="AH416" s="304">
        <f t="shared" ca="1" si="202"/>
        <v>31.878888958958374</v>
      </c>
    </row>
    <row r="417" spans="1:34" x14ac:dyDescent="0.25">
      <c r="A417" s="347">
        <f t="shared" ca="1" si="180"/>
        <v>0.01</v>
      </c>
      <c r="B417" s="304">
        <f t="shared" ca="1" si="181"/>
        <v>4.1299999999999564</v>
      </c>
      <c r="D417" s="306">
        <f t="shared" ca="1" si="182"/>
        <v>3.8253376234992782</v>
      </c>
      <c r="E417" s="307">
        <f t="shared" ca="1" si="183"/>
        <v>21.12710435211153</v>
      </c>
      <c r="F417" s="304">
        <f t="shared" ca="1" si="184"/>
        <v>21.470625194408498</v>
      </c>
      <c r="G417" s="306">
        <f t="shared" ca="1" si="185"/>
        <v>27.931531336336246</v>
      </c>
      <c r="H417" s="307">
        <f t="shared" ca="1" si="186"/>
        <v>225.79586929519687</v>
      </c>
      <c r="I417" s="304">
        <f t="shared" ca="1" si="187"/>
        <v>227.51691153311299</v>
      </c>
      <c r="J417" s="306">
        <f t="shared" ca="1" si="188"/>
        <v>62.516971302174923</v>
      </c>
      <c r="K417" s="307">
        <f t="shared" ca="1" si="189"/>
        <v>547.14043211444096</v>
      </c>
      <c r="L417" s="304">
        <f t="shared" ca="1" si="174"/>
        <v>550.70048497815401</v>
      </c>
      <c r="M417" s="306">
        <f t="shared" ca="1" si="190"/>
        <v>1.447718996351071</v>
      </c>
      <c r="N417" s="304">
        <f t="shared" ca="1" si="191"/>
        <v>82.948188411831794</v>
      </c>
      <c r="P417" s="310">
        <f t="shared" ca="1" si="192"/>
        <v>15</v>
      </c>
      <c r="Q417" s="304">
        <f t="shared" ca="1" si="193"/>
        <v>583.21666666669807</v>
      </c>
      <c r="R417" s="306">
        <f t="shared" ca="1" si="194"/>
        <v>0.29215204341628465</v>
      </c>
      <c r="S417" s="307">
        <f t="shared" ca="1" si="195"/>
        <v>10.718442708045679</v>
      </c>
      <c r="T417" s="304">
        <f t="shared" ca="1" si="175"/>
        <v>105.14792296592812</v>
      </c>
      <c r="U417" s="311">
        <f t="shared" ca="1" si="176"/>
        <v>0</v>
      </c>
      <c r="V417" s="306">
        <f t="shared" ca="1" si="177"/>
        <v>1.1597600673140274</v>
      </c>
      <c r="W417" s="304">
        <f t="shared" ca="1" si="178"/>
        <v>249.5074995066264</v>
      </c>
      <c r="Y417" s="314" t="str">
        <f t="shared" ca="1" si="196"/>
        <v/>
      </c>
      <c r="Z417" s="315" t="str">
        <f t="shared" ca="1" si="197"/>
        <v/>
      </c>
      <c r="AA417" s="316" t="str">
        <f t="shared" ca="1" si="198"/>
        <v/>
      </c>
      <c r="AC417" s="310" t="e">
        <f t="shared" ca="1" si="199"/>
        <v>#N/A</v>
      </c>
      <c r="AD417" s="323" t="e">
        <f t="shared" ca="1" si="200"/>
        <v>#N/A</v>
      </c>
      <c r="AE417" s="324">
        <f t="shared" ca="1" si="179"/>
        <v>547.14043211444096</v>
      </c>
      <c r="AG417" s="306">
        <f t="shared" ca="1" si="201"/>
        <v>21.436850177568338</v>
      </c>
      <c r="AH417" s="304">
        <f t="shared" ca="1" si="202"/>
        <v>31.172706549595546</v>
      </c>
    </row>
    <row r="418" spans="1:34" x14ac:dyDescent="0.25">
      <c r="A418" s="347">
        <f t="shared" ca="1" si="180"/>
        <v>0.01</v>
      </c>
      <c r="B418" s="304">
        <f t="shared" ca="1" si="181"/>
        <v>4.1399999999999562</v>
      </c>
      <c r="D418" s="306">
        <f t="shared" ca="1" si="182"/>
        <v>3.7403938526275349</v>
      </c>
      <c r="E418" s="307">
        <f t="shared" ca="1" si="183"/>
        <v>20.426991709858243</v>
      </c>
      <c r="F418" s="304">
        <f t="shared" ca="1" si="184"/>
        <v>20.766620728645073</v>
      </c>
      <c r="G418" s="306">
        <f t="shared" ca="1" si="185"/>
        <v>27.96893527486252</v>
      </c>
      <c r="H418" s="307">
        <f t="shared" ca="1" si="186"/>
        <v>226.00013921229544</v>
      </c>
      <c r="I418" s="304">
        <f t="shared" ca="1" si="187"/>
        <v>227.724228540545</v>
      </c>
      <c r="J418" s="306">
        <f t="shared" ca="1" si="188"/>
        <v>62.796473635230917</v>
      </c>
      <c r="K418" s="307">
        <f t="shared" ca="1" si="189"/>
        <v>549.39941215697843</v>
      </c>
      <c r="L418" s="304">
        <f t="shared" ca="1" si="174"/>
        <v>552.97659189106162</v>
      </c>
      <c r="M418" s="306">
        <f t="shared" ca="1" si="190"/>
        <v>1.4476661103376598</v>
      </c>
      <c r="N418" s="304">
        <f t="shared" ca="1" si="191"/>
        <v>82.945158266468056</v>
      </c>
      <c r="P418" s="310">
        <f t="shared" ca="1" si="192"/>
        <v>15</v>
      </c>
      <c r="Q418" s="304">
        <f t="shared" ca="1" si="193"/>
        <v>575.98333333336495</v>
      </c>
      <c r="R418" s="306">
        <f t="shared" ca="1" si="194"/>
        <v>0.28852863339591894</v>
      </c>
      <c r="S418" s="307">
        <f t="shared" ca="1" si="195"/>
        <v>10.71555742171172</v>
      </c>
      <c r="T418" s="304">
        <f t="shared" ca="1" si="175"/>
        <v>105.11961830699198</v>
      </c>
      <c r="U418" s="311">
        <f t="shared" ca="1" si="176"/>
        <v>0</v>
      </c>
      <c r="V418" s="306">
        <f t="shared" ca="1" si="177"/>
        <v>1.1594979124310423</v>
      </c>
      <c r="W418" s="304">
        <f t="shared" ca="1" si="178"/>
        <v>249.9059149436865</v>
      </c>
      <c r="Y418" s="314" t="str">
        <f t="shared" ca="1" si="196"/>
        <v/>
      </c>
      <c r="Z418" s="315" t="str">
        <f t="shared" ca="1" si="197"/>
        <v/>
      </c>
      <c r="AA418" s="316" t="str">
        <f t="shared" ca="1" si="198"/>
        <v/>
      </c>
      <c r="AC418" s="310" t="e">
        <f t="shared" ca="1" si="199"/>
        <v>#N/A</v>
      </c>
      <c r="AD418" s="323" t="e">
        <f t="shared" ca="1" si="200"/>
        <v>#N/A</v>
      </c>
      <c r="AE418" s="324">
        <f t="shared" ca="1" si="179"/>
        <v>549.39941215697843</v>
      </c>
      <c r="AG418" s="306">
        <f t="shared" ca="1" si="201"/>
        <v>20.731668896760844</v>
      </c>
      <c r="AH418" s="304">
        <f t="shared" ca="1" si="202"/>
        <v>30.467461558764786</v>
      </c>
    </row>
    <row r="419" spans="1:34" x14ac:dyDescent="0.25">
      <c r="A419" s="347">
        <f t="shared" ca="1" si="180"/>
        <v>0.01</v>
      </c>
      <c r="B419" s="304">
        <f t="shared" ca="1" si="181"/>
        <v>4.1499999999999559</v>
      </c>
      <c r="D419" s="306">
        <f t="shared" ca="1" si="182"/>
        <v>3.6554914864899195</v>
      </c>
      <c r="E419" s="307">
        <f t="shared" ca="1" si="183"/>
        <v>19.727827475992257</v>
      </c>
      <c r="F419" s="304">
        <f t="shared" ca="1" si="184"/>
        <v>20.063643610528853</v>
      </c>
      <c r="G419" s="306">
        <f t="shared" ca="1" si="185"/>
        <v>28.005490189727421</v>
      </c>
      <c r="H419" s="307">
        <f t="shared" ca="1" si="186"/>
        <v>226.19741748705536</v>
      </c>
      <c r="I419" s="304">
        <f t="shared" ca="1" si="187"/>
        <v>227.92450319915176</v>
      </c>
      <c r="J419" s="306">
        <f t="shared" ca="1" si="188"/>
        <v>63.076345762553871</v>
      </c>
      <c r="K419" s="307">
        <f t="shared" ca="1" si="189"/>
        <v>551.66039994047514</v>
      </c>
      <c r="L419" s="304">
        <f t="shared" ca="1" si="174"/>
        <v>555.25473636632967</v>
      </c>
      <c r="M419" s="306">
        <f t="shared" ca="1" si="190"/>
        <v>1.4476132482044035</v>
      </c>
      <c r="N419" s="304">
        <f t="shared" ca="1" si="191"/>
        <v>82.942129489336423</v>
      </c>
      <c r="P419" s="310">
        <f t="shared" ca="1" si="192"/>
        <v>15</v>
      </c>
      <c r="Q419" s="304">
        <f t="shared" ca="1" si="193"/>
        <v>568.75000000003183</v>
      </c>
      <c r="R419" s="306">
        <f t="shared" ca="1" si="194"/>
        <v>0.28490522337555324</v>
      </c>
      <c r="S419" s="307">
        <f t="shared" ca="1" si="195"/>
        <v>10.712708369477964</v>
      </c>
      <c r="T419" s="304">
        <f t="shared" ca="1" si="175"/>
        <v>105.09166910457883</v>
      </c>
      <c r="U419" s="311">
        <f t="shared" ca="1" si="176"/>
        <v>0</v>
      </c>
      <c r="V419" s="306">
        <f t="shared" ca="1" si="177"/>
        <v>1.15923558225699</v>
      </c>
      <c r="W419" s="304">
        <f t="shared" ca="1" si="178"/>
        <v>250.28903405936512</v>
      </c>
      <c r="Y419" s="314" t="str">
        <f t="shared" ca="1" si="196"/>
        <v/>
      </c>
      <c r="Z419" s="315" t="str">
        <f t="shared" ca="1" si="197"/>
        <v/>
      </c>
      <c r="AA419" s="316" t="str">
        <f t="shared" ca="1" si="198"/>
        <v/>
      </c>
      <c r="AC419" s="310" t="e">
        <f t="shared" ca="1" si="199"/>
        <v>#N/A</v>
      </c>
      <c r="AD419" s="323" t="e">
        <f t="shared" ca="1" si="200"/>
        <v>#N/A</v>
      </c>
      <c r="AE419" s="324">
        <f t="shared" ca="1" si="179"/>
        <v>551.66039994047514</v>
      </c>
      <c r="AG419" s="306">
        <f t="shared" ca="1" si="201"/>
        <v>20.027434015005706</v>
      </c>
      <c r="AH419" s="304">
        <f t="shared" ca="1" si="202"/>
        <v>29.763162970512447</v>
      </c>
    </row>
    <row r="420" spans="1:34" x14ac:dyDescent="0.25">
      <c r="A420" s="347">
        <f t="shared" ca="1" si="180"/>
        <v>0.01</v>
      </c>
      <c r="B420" s="304">
        <f t="shared" ca="1" si="181"/>
        <v>4.1599999999999557</v>
      </c>
      <c r="D420" s="306">
        <f t="shared" ca="1" si="182"/>
        <v>3.570631859104286</v>
      </c>
      <c r="E420" s="307">
        <f t="shared" ca="1" si="183"/>
        <v>19.029620369246366</v>
      </c>
      <c r="F420" s="304">
        <f t="shared" ca="1" si="184"/>
        <v>19.361711269174705</v>
      </c>
      <c r="G420" s="306">
        <f t="shared" ca="1" si="185"/>
        <v>28.041196508318464</v>
      </c>
      <c r="H420" s="307">
        <f t="shared" ca="1" si="186"/>
        <v>226.38771369074783</v>
      </c>
      <c r="I420" s="304">
        <f t="shared" ca="1" si="187"/>
        <v>228.11774506105866</v>
      </c>
      <c r="J420" s="306">
        <f t="shared" ca="1" si="188"/>
        <v>63.356579196044102</v>
      </c>
      <c r="K420" s="307">
        <f t="shared" ca="1" si="189"/>
        <v>553.92332559636418</v>
      </c>
      <c r="L420" s="304">
        <f t="shared" ca="1" si="174"/>
        <v>557.53484802939477</v>
      </c>
      <c r="M420" s="306">
        <f t="shared" ca="1" si="190"/>
        <v>1.447560408290725</v>
      </c>
      <c r="N420" s="304">
        <f t="shared" ca="1" si="191"/>
        <v>82.939101985292808</v>
      </c>
      <c r="P420" s="310">
        <f t="shared" ca="1" si="192"/>
        <v>15</v>
      </c>
      <c r="Q420" s="304">
        <f t="shared" ca="1" si="193"/>
        <v>561.51666666669871</v>
      </c>
      <c r="R420" s="306">
        <f t="shared" ca="1" si="194"/>
        <v>0.28128181335518754</v>
      </c>
      <c r="S420" s="307">
        <f t="shared" ca="1" si="195"/>
        <v>10.709895551344411</v>
      </c>
      <c r="T420" s="304">
        <f t="shared" ca="1" si="175"/>
        <v>105.06407535868868</v>
      </c>
      <c r="U420" s="311">
        <f t="shared" ca="1" si="176"/>
        <v>0</v>
      </c>
      <c r="V420" s="306">
        <f t="shared" ca="1" si="177"/>
        <v>1.1589730850303874</v>
      </c>
      <c r="W420" s="304">
        <f t="shared" ca="1" si="178"/>
        <v>250.65684888493718</v>
      </c>
      <c r="Y420" s="314" t="str">
        <f t="shared" ca="1" si="196"/>
        <v/>
      </c>
      <c r="Z420" s="315" t="str">
        <f t="shared" ca="1" si="197"/>
        <v/>
      </c>
      <c r="AA420" s="316" t="str">
        <f t="shared" ca="1" si="198"/>
        <v/>
      </c>
      <c r="AC420" s="310" t="e">
        <f t="shared" ca="1" si="199"/>
        <v>#N/A</v>
      </c>
      <c r="AD420" s="323" t="e">
        <f t="shared" ca="1" si="200"/>
        <v>#N/A</v>
      </c>
      <c r="AE420" s="324">
        <f t="shared" ca="1" si="179"/>
        <v>553.92332559636418</v>
      </c>
      <c r="AG420" s="306">
        <f t="shared" ca="1" si="201"/>
        <v>19.324154344807006</v>
      </c>
      <c r="AH420" s="304">
        <f t="shared" ca="1" si="202"/>
        <v>29.059819595370865</v>
      </c>
    </row>
    <row r="421" spans="1:34" x14ac:dyDescent="0.25">
      <c r="A421" s="347">
        <f t="shared" ca="1" si="180"/>
        <v>0.01</v>
      </c>
      <c r="B421" s="304">
        <f t="shared" ca="1" si="181"/>
        <v>4.1699999999999555</v>
      </c>
      <c r="D421" s="306">
        <f t="shared" ca="1" si="182"/>
        <v>3.4858162800553281</v>
      </c>
      <c r="E421" s="307">
        <f t="shared" ca="1" si="183"/>
        <v>18.332378937133178</v>
      </c>
      <c r="F421" s="304">
        <f t="shared" ca="1" si="184"/>
        <v>18.660842227320369</v>
      </c>
      <c r="G421" s="306">
        <f t="shared" ca="1" si="185"/>
        <v>28.076054671119017</v>
      </c>
      <c r="H421" s="307">
        <f t="shared" ca="1" si="186"/>
        <v>226.57103748011917</v>
      </c>
      <c r="I421" s="304">
        <f t="shared" ca="1" si="187"/>
        <v>228.30396376478711</v>
      </c>
      <c r="J421" s="306">
        <f t="shared" ca="1" si="188"/>
        <v>63.637165451941286</v>
      </c>
      <c r="K421" s="307">
        <f t="shared" ca="1" si="189"/>
        <v>556.18811935221856</v>
      </c>
      <c r="L421" s="304">
        <f t="shared" ca="1" si="174"/>
        <v>559.81685660161713</v>
      </c>
      <c r="M421" s="306">
        <f t="shared" ca="1" si="190"/>
        <v>1.4475075889438374</v>
      </c>
      <c r="N421" s="304">
        <f t="shared" ca="1" si="191"/>
        <v>82.936075659639499</v>
      </c>
      <c r="P421" s="310">
        <f t="shared" ca="1" si="192"/>
        <v>15</v>
      </c>
      <c r="Q421" s="304">
        <f t="shared" ca="1" si="193"/>
        <v>554.28333333336559</v>
      </c>
      <c r="R421" s="306">
        <f t="shared" ca="1" si="194"/>
        <v>0.27765840333482183</v>
      </c>
      <c r="S421" s="307">
        <f t="shared" ca="1" si="195"/>
        <v>10.707118967311063</v>
      </c>
      <c r="T421" s="304">
        <f t="shared" ca="1" si="175"/>
        <v>105.03683706932154</v>
      </c>
      <c r="U421" s="311">
        <f t="shared" ca="1" si="176"/>
        <v>0</v>
      </c>
      <c r="V421" s="306">
        <f t="shared" ca="1" si="177"/>
        <v>1.1587104289715033</v>
      </c>
      <c r="W421" s="304">
        <f t="shared" ca="1" si="178"/>
        <v>251.00935318245712</v>
      </c>
      <c r="Y421" s="314" t="str">
        <f t="shared" ca="1" si="196"/>
        <v/>
      </c>
      <c r="Z421" s="315" t="str">
        <f t="shared" ca="1" si="197"/>
        <v/>
      </c>
      <c r="AA421" s="316" t="str">
        <f t="shared" ca="1" si="198"/>
        <v/>
      </c>
      <c r="AC421" s="310" t="e">
        <f t="shared" ca="1" si="199"/>
        <v>#N/A</v>
      </c>
      <c r="AD421" s="323" t="e">
        <f t="shared" ca="1" si="200"/>
        <v>#N/A</v>
      </c>
      <c r="AE421" s="324">
        <f t="shared" ca="1" si="179"/>
        <v>556.18811935221856</v>
      </c>
      <c r="AG421" s="306">
        <f t="shared" ca="1" si="201"/>
        <v>18.621838525774947</v>
      </c>
      <c r="AH421" s="304">
        <f t="shared" ca="1" si="202"/>
        <v>28.357440070984829</v>
      </c>
    </row>
    <row r="422" spans="1:34" x14ac:dyDescent="0.25">
      <c r="A422" s="347">
        <f t="shared" ca="1" si="180"/>
        <v>0.01</v>
      </c>
      <c r="B422" s="304">
        <f t="shared" ca="1" si="181"/>
        <v>4.1799999999999553</v>
      </c>
      <c r="D422" s="306">
        <f t="shared" ca="1" si="182"/>
        <v>3.4010460345793305</v>
      </c>
      <c r="E422" s="307">
        <f t="shared" ca="1" si="183"/>
        <v>17.636111556584027</v>
      </c>
      <c r="F422" s="304">
        <f t="shared" ca="1" si="184"/>
        <v>17.96105634325566</v>
      </c>
      <c r="G422" s="306">
        <f t="shared" ca="1" si="185"/>
        <v>28.110065131464811</v>
      </c>
      <c r="H422" s="307">
        <f t="shared" ca="1" si="186"/>
        <v>226.74739859568501</v>
      </c>
      <c r="I422" s="304">
        <f t="shared" ca="1" si="187"/>
        <v>228.48316903353222</v>
      </c>
      <c r="J422" s="306">
        <f t="shared" ca="1" si="188"/>
        <v>63.918096050954205</v>
      </c>
      <c r="K422" s="307">
        <f t="shared" ca="1" si="189"/>
        <v>558.45471153259757</v>
      </c>
      <c r="L422" s="304">
        <f t="shared" ca="1" si="174"/>
        <v>562.10069190113597</v>
      </c>
      <c r="M422" s="306">
        <f t="shared" ca="1" si="190"/>
        <v>1.447454788518435</v>
      </c>
      <c r="N422" s="304">
        <f t="shared" ca="1" si="191"/>
        <v>82.933050418107456</v>
      </c>
      <c r="P422" s="310">
        <f t="shared" ca="1" si="192"/>
        <v>15</v>
      </c>
      <c r="Q422" s="304">
        <f t="shared" ca="1" si="193"/>
        <v>547.05000000003247</v>
      </c>
      <c r="R422" s="306">
        <f t="shared" ca="1" si="194"/>
        <v>0.27403499331445613</v>
      </c>
      <c r="S422" s="307">
        <f t="shared" ca="1" si="195"/>
        <v>10.704378617377918</v>
      </c>
      <c r="T422" s="304">
        <f t="shared" ca="1" si="175"/>
        <v>105.00995423647738</v>
      </c>
      <c r="U422" s="311">
        <f t="shared" ca="1" si="176"/>
        <v>0</v>
      </c>
      <c r="V422" s="306">
        <f t="shared" ca="1" si="177"/>
        <v>1.1584476222822651</v>
      </c>
      <c r="W422" s="304">
        <f t="shared" ca="1" si="178"/>
        <v>251.34654243223684</v>
      </c>
      <c r="Y422" s="314" t="str">
        <f t="shared" ca="1" si="196"/>
        <v/>
      </c>
      <c r="Z422" s="315" t="str">
        <f t="shared" ca="1" si="197"/>
        <v/>
      </c>
      <c r="AA422" s="316" t="str">
        <f t="shared" ca="1" si="198"/>
        <v/>
      </c>
      <c r="AC422" s="310" t="e">
        <f t="shared" ca="1" si="199"/>
        <v>#N/A</v>
      </c>
      <c r="AD422" s="323" t="e">
        <f t="shared" ca="1" si="200"/>
        <v>#N/A</v>
      </c>
      <c r="AE422" s="324">
        <f t="shared" ca="1" si="179"/>
        <v>558.45471153259757</v>
      </c>
      <c r="AG422" s="306">
        <f t="shared" ca="1" si="201"/>
        <v>17.920495025269624</v>
      </c>
      <c r="AH422" s="304">
        <f t="shared" ca="1" si="202"/>
        <v>27.656032862754973</v>
      </c>
    </row>
    <row r="423" spans="1:34" x14ac:dyDescent="0.25">
      <c r="A423" s="347">
        <f t="shared" ca="1" si="180"/>
        <v>0.01</v>
      </c>
      <c r="B423" s="304">
        <f t="shared" ca="1" si="181"/>
        <v>4.1899999999999551</v>
      </c>
      <c r="D423" s="306">
        <f t="shared" ca="1" si="182"/>
        <v>3.3163223836498497</v>
      </c>
      <c r="E423" s="307">
        <f t="shared" ca="1" si="183"/>
        <v>16.940826434604553</v>
      </c>
      <c r="F423" s="304">
        <f t="shared" ca="1" si="184"/>
        <v>17.262375110038985</v>
      </c>
      <c r="G423" s="306">
        <f t="shared" ca="1" si="185"/>
        <v>28.143228355301311</v>
      </c>
      <c r="H423" s="307">
        <f t="shared" ca="1" si="186"/>
        <v>226.91680686003104</v>
      </c>
      <c r="I423" s="304">
        <f t="shared" ca="1" si="187"/>
        <v>228.65537067344661</v>
      </c>
      <c r="J423" s="306">
        <f t="shared" ca="1" si="188"/>
        <v>64.199362518388028</v>
      </c>
      <c r="K423" s="307">
        <f t="shared" ca="1" si="189"/>
        <v>560.72303255987617</v>
      </c>
      <c r="L423" s="304">
        <f t="shared" ca="1" si="174"/>
        <v>564.38628384370872</v>
      </c>
      <c r="M423" s="306">
        <f t="shared" ca="1" si="190"/>
        <v>1.4474020053763847</v>
      </c>
      <c r="N423" s="304">
        <f t="shared" ca="1" si="191"/>
        <v>82.93002616683853</v>
      </c>
      <c r="P423" s="310">
        <f t="shared" ca="1" si="192"/>
        <v>15</v>
      </c>
      <c r="Q423" s="304">
        <f t="shared" ca="1" si="193"/>
        <v>539.81666666669935</v>
      </c>
      <c r="R423" s="306">
        <f t="shared" ca="1" si="194"/>
        <v>0.27041158329409043</v>
      </c>
      <c r="S423" s="307">
        <f t="shared" ca="1" si="195"/>
        <v>10.701674501544977</v>
      </c>
      <c r="T423" s="304">
        <f t="shared" ca="1" si="175"/>
        <v>104.98342686015623</v>
      </c>
      <c r="U423" s="311">
        <f t="shared" ca="1" si="176"/>
        <v>0</v>
      </c>
      <c r="V423" s="306">
        <f t="shared" ca="1" si="177"/>
        <v>1.1581846731461634</v>
      </c>
      <c r="W423" s="304">
        <f t="shared" ca="1" si="178"/>
        <v>251.6684138202516</v>
      </c>
      <c r="Y423" s="314" t="str">
        <f t="shared" ca="1" si="196"/>
        <v/>
      </c>
      <c r="Z423" s="315" t="str">
        <f t="shared" ca="1" si="197"/>
        <v/>
      </c>
      <c r="AA423" s="316" t="str">
        <f t="shared" ca="1" si="198"/>
        <v/>
      </c>
      <c r="AC423" s="310" t="e">
        <f t="shared" ca="1" si="199"/>
        <v>#N/A</v>
      </c>
      <c r="AD423" s="323" t="e">
        <f t="shared" ca="1" si="200"/>
        <v>#N/A</v>
      </c>
      <c r="AE423" s="324">
        <f t="shared" ca="1" si="179"/>
        <v>560.72303255987617</v>
      </c>
      <c r="AG423" s="306">
        <f t="shared" ca="1" si="201"/>
        <v>17.220132139061409</v>
      </c>
      <c r="AH423" s="304">
        <f t="shared" ca="1" si="202"/>
        <v>26.955606264497835</v>
      </c>
    </row>
    <row r="424" spans="1:34" x14ac:dyDescent="0.25">
      <c r="A424" s="347">
        <f t="shared" ca="1" si="180"/>
        <v>0.01</v>
      </c>
      <c r="B424" s="304">
        <f t="shared" ca="1" si="181"/>
        <v>4.1999999999999549</v>
      </c>
      <c r="D424" s="306">
        <f t="shared" ca="1" si="182"/>
        <v>3.2154909101003457</v>
      </c>
      <c r="E424" s="307">
        <f t="shared" ca="1" si="183"/>
        <v>16.116269744031769</v>
      </c>
      <c r="F424" s="304">
        <f t="shared" ca="1" si="184"/>
        <v>16.433914088108523</v>
      </c>
      <c r="G424" s="306">
        <f t="shared" ca="1" si="185"/>
        <v>28.175383264402313</v>
      </c>
      <c r="H424" s="307">
        <f t="shared" ca="1" si="186"/>
        <v>227.07796955747136</v>
      </c>
      <c r="I424" s="304">
        <f t="shared" ca="1" si="187"/>
        <v>228.81926597303789</v>
      </c>
      <c r="J424" s="306">
        <f t="shared" ca="1" si="188"/>
        <v>64.480955576486551</v>
      </c>
      <c r="K424" s="307">
        <f t="shared" ca="1" si="189"/>
        <v>562.99300644196364</v>
      </c>
      <c r="L424" s="304">
        <f t="shared" ca="1" si="174"/>
        <v>566.67355588082432</v>
      </c>
      <c r="M424" s="306">
        <f t="shared" ca="1" si="190"/>
        <v>1.4473492375837265</v>
      </c>
      <c r="N424" s="304">
        <f t="shared" ca="1" si="191"/>
        <v>82.92700279502499</v>
      </c>
      <c r="P424" s="310">
        <f t="shared" ca="1" si="192"/>
        <v>16</v>
      </c>
      <c r="Q424" s="304">
        <f t="shared" ca="1" si="193"/>
        <v>531.17916666671226</v>
      </c>
      <c r="R424" s="306">
        <f t="shared" ca="1" si="194"/>
        <v>0.26608478089074533</v>
      </c>
      <c r="S424" s="307">
        <f t="shared" ca="1" si="195"/>
        <v>10.699013653736069</v>
      </c>
      <c r="T424" s="304">
        <f t="shared" ca="1" si="175"/>
        <v>104.95732394315084</v>
      </c>
      <c r="U424" s="311">
        <f t="shared" ca="1" si="176"/>
        <v>0</v>
      </c>
      <c r="V424" s="306">
        <f t="shared" ca="1" si="177"/>
        <v>1.1579215904829276</v>
      </c>
      <c r="W424" s="304">
        <f t="shared" ca="1" si="178"/>
        <v>251.97207555608153</v>
      </c>
      <c r="Y424" s="314" t="str">
        <f t="shared" ca="1" si="196"/>
        <v/>
      </c>
      <c r="Z424" s="315" t="str">
        <f t="shared" ca="1" si="197"/>
        <v/>
      </c>
      <c r="AA424" s="316" t="str">
        <f t="shared" ca="1" si="198"/>
        <v/>
      </c>
      <c r="AC424" s="310" t="e">
        <f t="shared" ca="1" si="199"/>
        <v>#N/A</v>
      </c>
      <c r="AD424" s="323" t="e">
        <f t="shared" ca="1" si="200"/>
        <v>#N/A</v>
      </c>
      <c r="AE424" s="324">
        <f t="shared" ca="1" si="179"/>
        <v>562.99300644196364</v>
      </c>
      <c r="AG424" s="306">
        <f t="shared" ca="1" si="201"/>
        <v>16.389498102452247</v>
      </c>
      <c r="AH424" s="304">
        <f t="shared" ca="1" si="202"/>
        <v>26.124908509566787</v>
      </c>
    </row>
    <row r="425" spans="1:34" x14ac:dyDescent="0.25">
      <c r="A425" s="347">
        <f t="shared" ca="1" si="180"/>
        <v>0.01</v>
      </c>
      <c r="B425" s="304">
        <f t="shared" ca="1" si="181"/>
        <v>4.2099999999999547</v>
      </c>
      <c r="D425" s="306">
        <f t="shared" ca="1" si="182"/>
        <v>3.0985517564077756</v>
      </c>
      <c r="E425" s="307">
        <f t="shared" ca="1" si="183"/>
        <v>15.1626094162056</v>
      </c>
      <c r="F425" s="304">
        <f t="shared" ca="1" si="184"/>
        <v>15.475973226118752</v>
      </c>
      <c r="G425" s="306">
        <f t="shared" ca="1" si="185"/>
        <v>28.20636878196639</v>
      </c>
      <c r="H425" s="307">
        <f t="shared" ca="1" si="186"/>
        <v>227.22959565163342</v>
      </c>
      <c r="I425" s="304">
        <f t="shared" ca="1" si="187"/>
        <v>228.97355388749398</v>
      </c>
      <c r="J425" s="306">
        <f t="shared" ca="1" si="188"/>
        <v>64.762864336718394</v>
      </c>
      <c r="K425" s="307">
        <f t="shared" ca="1" si="189"/>
        <v>565.26454426800922</v>
      </c>
      <c r="L425" s="304">
        <f t="shared" ca="1" si="174"/>
        <v>568.96241844573206</v>
      </c>
      <c r="M425" s="306">
        <f t="shared" ca="1" si="190"/>
        <v>1.4472964829117461</v>
      </c>
      <c r="N425" s="304">
        <f t="shared" ca="1" si="191"/>
        <v>82.923980174970922</v>
      </c>
      <c r="P425" s="310">
        <f t="shared" ca="1" si="192"/>
        <v>16</v>
      </c>
      <c r="Q425" s="304">
        <f t="shared" ca="1" si="193"/>
        <v>521.13750000004575</v>
      </c>
      <c r="R425" s="306">
        <f t="shared" ca="1" si="194"/>
        <v>0.26105458610440807</v>
      </c>
      <c r="S425" s="307">
        <f t="shared" ca="1" si="195"/>
        <v>10.696403107875025</v>
      </c>
      <c r="T425" s="304">
        <f t="shared" ca="1" si="175"/>
        <v>104.931714488254</v>
      </c>
      <c r="U425" s="311">
        <f t="shared" ca="1" si="176"/>
        <v>0</v>
      </c>
      <c r="V425" s="306">
        <f t="shared" ca="1" si="177"/>
        <v>1.1576583847012745</v>
      </c>
      <c r="W425" s="304">
        <f t="shared" ca="1" si="178"/>
        <v>252.25463608997444</v>
      </c>
      <c r="Y425" s="314" t="str">
        <f t="shared" ca="1" si="196"/>
        <v/>
      </c>
      <c r="Z425" s="315" t="str">
        <f t="shared" ca="1" si="197"/>
        <v/>
      </c>
      <c r="AA425" s="316" t="str">
        <f t="shared" ca="1" si="198"/>
        <v/>
      </c>
      <c r="AC425" s="310" t="e">
        <f t="shared" ca="1" si="199"/>
        <v>#N/A</v>
      </c>
      <c r="AD425" s="323" t="e">
        <f t="shared" ca="1" si="200"/>
        <v>#N/A</v>
      </c>
      <c r="AE425" s="324">
        <f t="shared" ca="1" si="179"/>
        <v>565.26454426800922</v>
      </c>
      <c r="AG425" s="306">
        <f t="shared" ca="1" si="201"/>
        <v>15.428759583305066</v>
      </c>
      <c r="AH425" s="304">
        <f t="shared" ca="1" si="202"/>
        <v>25.164106263515464</v>
      </c>
    </row>
    <row r="426" spans="1:34" x14ac:dyDescent="0.25">
      <c r="A426" s="347">
        <f t="shared" ca="1" si="180"/>
        <v>0.01</v>
      </c>
      <c r="B426" s="304">
        <f t="shared" ca="1" si="181"/>
        <v>4.2199999999999545</v>
      </c>
      <c r="D426" s="306">
        <f t="shared" ca="1" si="182"/>
        <v>2.9816829133241693</v>
      </c>
      <c r="E426" s="307">
        <f t="shared" ca="1" si="183"/>
        <v>14.210341221277956</v>
      </c>
      <c r="F426" s="304">
        <f t="shared" ca="1" si="184"/>
        <v>14.519787554257148</v>
      </c>
      <c r="G426" s="306">
        <f t="shared" ca="1" si="185"/>
        <v>28.236185611099632</v>
      </c>
      <c r="H426" s="307">
        <f t="shared" ca="1" si="186"/>
        <v>227.37169906384619</v>
      </c>
      <c r="I426" s="304">
        <f t="shared" ca="1" si="187"/>
        <v>229.11824831960615</v>
      </c>
      <c r="J426" s="306">
        <f t="shared" ca="1" si="188"/>
        <v>65.045077108683728</v>
      </c>
      <c r="K426" s="307">
        <f t="shared" ca="1" si="189"/>
        <v>567.53755074158664</v>
      </c>
      <c r="L426" s="304">
        <f t="shared" ca="1" si="174"/>
        <v>571.25277553621891</v>
      </c>
      <c r="M426" s="306">
        <f t="shared" ca="1" si="190"/>
        <v>1.4472437391401369</v>
      </c>
      <c r="N426" s="304">
        <f t="shared" ca="1" si="191"/>
        <v>82.920958179462119</v>
      </c>
      <c r="P426" s="310">
        <f t="shared" ca="1" si="192"/>
        <v>16</v>
      </c>
      <c r="Q426" s="304">
        <f t="shared" ca="1" si="193"/>
        <v>511.09583333337923</v>
      </c>
      <c r="R426" s="306">
        <f t="shared" ca="1" si="194"/>
        <v>0.25602439131807087</v>
      </c>
      <c r="S426" s="307">
        <f t="shared" ca="1" si="195"/>
        <v>10.693842863961844</v>
      </c>
      <c r="T426" s="304">
        <f t="shared" ca="1" si="175"/>
        <v>104.9065984954657</v>
      </c>
      <c r="U426" s="311">
        <f t="shared" ca="1" si="176"/>
        <v>0</v>
      </c>
      <c r="V426" s="306">
        <f t="shared" ca="1" si="177"/>
        <v>1.1573950669404878</v>
      </c>
      <c r="W426" s="304">
        <f t="shared" ca="1" si="178"/>
        <v>252.51609986985508</v>
      </c>
      <c r="Y426" s="314" t="str">
        <f t="shared" ca="1" si="196"/>
        <v/>
      </c>
      <c r="Z426" s="315" t="str">
        <f t="shared" ca="1" si="197"/>
        <v/>
      </c>
      <c r="AA426" s="316" t="str">
        <f t="shared" ca="1" si="198"/>
        <v/>
      </c>
      <c r="AC426" s="310" t="e">
        <f t="shared" ca="1" si="199"/>
        <v>#N/A</v>
      </c>
      <c r="AD426" s="323" t="e">
        <f t="shared" ca="1" si="200"/>
        <v>#N/A</v>
      </c>
      <c r="AE426" s="324">
        <f t="shared" ca="1" si="179"/>
        <v>567.53755074158664</v>
      </c>
      <c r="AG426" s="306">
        <f t="shared" ca="1" si="201"/>
        <v>14.469411341952329</v>
      </c>
      <c r="AH426" s="304">
        <f t="shared" ca="1" si="202"/>
        <v>24.204694284006859</v>
      </c>
    </row>
    <row r="427" spans="1:34" x14ac:dyDescent="0.25">
      <c r="A427" s="347">
        <f t="shared" ca="1" si="180"/>
        <v>0.01</v>
      </c>
      <c r="B427" s="304">
        <f t="shared" ca="1" si="181"/>
        <v>4.2299999999999542</v>
      </c>
      <c r="D427" s="306">
        <f t="shared" ca="1" si="182"/>
        <v>2.864886429590074</v>
      </c>
      <c r="E427" s="307">
        <f t="shared" ca="1" si="183"/>
        <v>13.25947914610636</v>
      </c>
      <c r="F427" s="304">
        <f t="shared" ca="1" si="184"/>
        <v>13.565447338015757</v>
      </c>
      <c r="G427" s="306">
        <f t="shared" ca="1" si="185"/>
        <v>28.264834475395531</v>
      </c>
      <c r="H427" s="307">
        <f t="shared" ca="1" si="186"/>
        <v>227.50429385530725</v>
      </c>
      <c r="I427" s="304">
        <f t="shared" ca="1" si="187"/>
        <v>229.25336331343868</v>
      </c>
      <c r="J427" s="306">
        <f t="shared" ca="1" si="188"/>
        <v>65.327582209116201</v>
      </c>
      <c r="K427" s="307">
        <f t="shared" ca="1" si="189"/>
        <v>569.81193070618247</v>
      </c>
      <c r="L427" s="304">
        <f t="shared" ca="1" si="174"/>
        <v>573.5445312897649</v>
      </c>
      <c r="M427" s="306">
        <f t="shared" ca="1" si="190"/>
        <v>1.4471910040564515</v>
      </c>
      <c r="N427" s="304">
        <f t="shared" ca="1" si="191"/>
        <v>82.917936681734673</v>
      </c>
      <c r="P427" s="310">
        <f t="shared" ca="1" si="192"/>
        <v>16</v>
      </c>
      <c r="Q427" s="304">
        <f t="shared" ca="1" si="193"/>
        <v>501.05416666671272</v>
      </c>
      <c r="R427" s="306">
        <f t="shared" ca="1" si="194"/>
        <v>0.2509941965317336</v>
      </c>
      <c r="S427" s="307">
        <f t="shared" ca="1" si="195"/>
        <v>10.691332921996526</v>
      </c>
      <c r="T427" s="304">
        <f t="shared" ca="1" si="175"/>
        <v>104.88197596478592</v>
      </c>
      <c r="U427" s="311">
        <f t="shared" ca="1" si="176"/>
        <v>0</v>
      </c>
      <c r="V427" s="306">
        <f t="shared" ca="1" si="177"/>
        <v>1.157131648313898</v>
      </c>
      <c r="W427" s="304">
        <f t="shared" ca="1" si="178"/>
        <v>252.75647442099046</v>
      </c>
      <c r="Y427" s="314" t="str">
        <f t="shared" ca="1" si="196"/>
        <v/>
      </c>
      <c r="Z427" s="315" t="str">
        <f t="shared" ca="1" si="197"/>
        <v/>
      </c>
      <c r="AA427" s="316" t="str">
        <f t="shared" ca="1" si="198"/>
        <v/>
      </c>
      <c r="AC427" s="310" t="e">
        <f t="shared" ca="1" si="199"/>
        <v>#N/A</v>
      </c>
      <c r="AD427" s="323" t="e">
        <f t="shared" ca="1" si="200"/>
        <v>#N/A</v>
      </c>
      <c r="AE427" s="324">
        <f t="shared" ca="1" si="179"/>
        <v>569.81193070618247</v>
      </c>
      <c r="AG427" s="306">
        <f t="shared" ca="1" si="201"/>
        <v>13.511467505696523</v>
      </c>
      <c r="AH427" s="304">
        <f t="shared" ca="1" si="202"/>
        <v>23.246686695679571</v>
      </c>
    </row>
    <row r="428" spans="1:34" x14ac:dyDescent="0.25">
      <c r="A428" s="347">
        <f t="shared" ca="1" si="180"/>
        <v>0.01</v>
      </c>
      <c r="B428" s="304">
        <f t="shared" ca="1" si="181"/>
        <v>4.239999999999954</v>
      </c>
      <c r="D428" s="306">
        <f t="shared" ca="1" si="182"/>
        <v>2.7481643094518904</v>
      </c>
      <c r="E428" s="307">
        <f t="shared" ca="1" si="183"/>
        <v>12.310036866462527</v>
      </c>
      <c r="F428" s="304">
        <f t="shared" ca="1" si="184"/>
        <v>12.613065239084897</v>
      </c>
      <c r="G428" s="306">
        <f t="shared" ca="1" si="185"/>
        <v>28.292316118490049</v>
      </c>
      <c r="H428" s="307">
        <f t="shared" ca="1" si="186"/>
        <v>227.62739422397189</v>
      </c>
      <c r="I428" s="304">
        <f t="shared" ca="1" si="187"/>
        <v>229.37891305118717</v>
      </c>
      <c r="J428" s="306">
        <f t="shared" ca="1" si="188"/>
        <v>65.610367962085633</v>
      </c>
      <c r="K428" s="307">
        <f t="shared" ca="1" si="189"/>
        <v>572.08758914657881</v>
      </c>
      <c r="L428" s="304">
        <f t="shared" ca="1" si="174"/>
        <v>575.83758998494102</v>
      </c>
      <c r="M428" s="306">
        <f t="shared" ca="1" si="190"/>
        <v>1.4471382754555626</v>
      </c>
      <c r="N428" s="304">
        <f t="shared" ca="1" si="191"/>
        <v>82.914915555444111</v>
      </c>
      <c r="P428" s="310">
        <f t="shared" ca="1" si="192"/>
        <v>16</v>
      </c>
      <c r="Q428" s="304">
        <f t="shared" ca="1" si="193"/>
        <v>491.0125000000462</v>
      </c>
      <c r="R428" s="306">
        <f t="shared" ca="1" si="194"/>
        <v>0.24596400174539634</v>
      </c>
      <c r="S428" s="307">
        <f t="shared" ca="1" si="195"/>
        <v>10.688873281979072</v>
      </c>
      <c r="T428" s="304">
        <f t="shared" ca="1" si="175"/>
        <v>104.85784689621471</v>
      </c>
      <c r="U428" s="311">
        <f t="shared" ca="1" si="176"/>
        <v>0</v>
      </c>
      <c r="V428" s="306">
        <f t="shared" ca="1" si="177"/>
        <v>1.1568681399087284</v>
      </c>
      <c r="W428" s="304">
        <f t="shared" ca="1" si="178"/>
        <v>252.97577032155971</v>
      </c>
      <c r="Y428" s="314" t="str">
        <f t="shared" ca="1" si="196"/>
        <v/>
      </c>
      <c r="Z428" s="315" t="str">
        <f t="shared" ca="1" si="197"/>
        <v/>
      </c>
      <c r="AA428" s="316" t="str">
        <f t="shared" ca="1" si="198"/>
        <v/>
      </c>
      <c r="AC428" s="310" t="e">
        <f t="shared" ca="1" si="199"/>
        <v>#N/A</v>
      </c>
      <c r="AD428" s="323" t="e">
        <f t="shared" ca="1" si="200"/>
        <v>#N/A</v>
      </c>
      <c r="AE428" s="324">
        <f t="shared" ca="1" si="179"/>
        <v>572.08758914657881</v>
      </c>
      <c r="AG428" s="306">
        <f t="shared" ca="1" si="201"/>
        <v>12.554941887679089</v>
      </c>
      <c r="AH428" s="304">
        <f t="shared" ca="1" si="202"/>
        <v>22.290097309016094</v>
      </c>
    </row>
    <row r="429" spans="1:34" x14ac:dyDescent="0.25">
      <c r="A429" s="347">
        <f t="shared" ca="1" si="180"/>
        <v>0.01</v>
      </c>
      <c r="B429" s="304">
        <f t="shared" ca="1" si="181"/>
        <v>4.2499999999999538</v>
      </c>
      <c r="D429" s="306">
        <f t="shared" ca="1" si="182"/>
        <v>2.6315185128145808</v>
      </c>
      <c r="E429" s="307">
        <f t="shared" ca="1" si="183"/>
        <v>11.36202774829218</v>
      </c>
      <c r="F429" s="304">
        <f t="shared" ca="1" si="184"/>
        <v>11.662785440719011</v>
      </c>
      <c r="G429" s="306">
        <f t="shared" ca="1" si="185"/>
        <v>28.318631303618194</v>
      </c>
      <c r="H429" s="307">
        <f t="shared" ca="1" si="186"/>
        <v>227.7410145014548</v>
      </c>
      <c r="I429" s="304">
        <f t="shared" ca="1" si="187"/>
        <v>229.49491185004976</v>
      </c>
      <c r="J429" s="306">
        <f t="shared" ca="1" si="188"/>
        <v>65.893422699196179</v>
      </c>
      <c r="K429" s="307">
        <f t="shared" ca="1" si="189"/>
        <v>574.36443119020589</v>
      </c>
      <c r="L429" s="304">
        <f t="shared" ca="1" si="174"/>
        <v>578.13185604277487</v>
      </c>
      <c r="M429" s="306">
        <f t="shared" ca="1" si="190"/>
        <v>1.4470855511391254</v>
      </c>
      <c r="N429" s="304">
        <f t="shared" ca="1" si="191"/>
        <v>82.911894674634539</v>
      </c>
      <c r="P429" s="310">
        <f t="shared" ca="1" si="192"/>
        <v>16</v>
      </c>
      <c r="Q429" s="304">
        <f t="shared" ca="1" si="193"/>
        <v>480.97083333337969</v>
      </c>
      <c r="R429" s="306">
        <f t="shared" ca="1" si="194"/>
        <v>0.24093380695905908</v>
      </c>
      <c r="S429" s="307">
        <f t="shared" ca="1" si="195"/>
        <v>10.686463943909482</v>
      </c>
      <c r="T429" s="304">
        <f t="shared" ca="1" si="175"/>
        <v>104.83421128975202</v>
      </c>
      <c r="U429" s="311">
        <f t="shared" ca="1" si="176"/>
        <v>0</v>
      </c>
      <c r="V429" s="306">
        <f t="shared" ca="1" si="177"/>
        <v>1.1566045527859545</v>
      </c>
      <c r="W429" s="304">
        <f t="shared" ca="1" si="178"/>
        <v>253.17400117808535</v>
      </c>
      <c r="Y429" s="314" t="str">
        <f t="shared" ca="1" si="196"/>
        <v/>
      </c>
      <c r="Z429" s="315" t="str">
        <f t="shared" ca="1" si="197"/>
        <v/>
      </c>
      <c r="AA429" s="316" t="str">
        <f t="shared" ca="1" si="198"/>
        <v/>
      </c>
      <c r="AC429" s="310" t="e">
        <f t="shared" ca="1" si="199"/>
        <v>#N/A</v>
      </c>
      <c r="AD429" s="323" t="e">
        <f t="shared" ca="1" si="200"/>
        <v>#N/A</v>
      </c>
      <c r="AE429" s="324">
        <f t="shared" ca="1" si="179"/>
        <v>574.36443119020589</v>
      </c>
      <c r="AG429" s="306">
        <f t="shared" ca="1" si="201"/>
        <v>11.59984798814814</v>
      </c>
      <c r="AH429" s="304">
        <f t="shared" ca="1" si="202"/>
        <v>21.334939621609898</v>
      </c>
    </row>
    <row r="430" spans="1:34" x14ac:dyDescent="0.25">
      <c r="A430" s="347">
        <f t="shared" ca="1" si="180"/>
        <v>0.01</v>
      </c>
      <c r="B430" s="304">
        <f t="shared" ca="1" si="181"/>
        <v>4.2599999999999536</v>
      </c>
      <c r="D430" s="306">
        <f t="shared" ca="1" si="182"/>
        <v>2.5149509553967135</v>
      </c>
      <c r="E430" s="307">
        <f t="shared" ca="1" si="183"/>
        <v>10.41546484901164</v>
      </c>
      <c r="F430" s="304">
        <f t="shared" ca="1" si="184"/>
        <v>10.714797540273354</v>
      </c>
      <c r="G430" s="306">
        <f t="shared" ca="1" si="185"/>
        <v>28.34378081317216</v>
      </c>
      <c r="H430" s="307">
        <f t="shared" ca="1" si="186"/>
        <v>227.84516914994492</v>
      </c>
      <c r="I430" s="304">
        <f t="shared" ca="1" si="187"/>
        <v>229.60137415911115</v>
      </c>
      <c r="J430" s="306">
        <f t="shared" ca="1" si="188"/>
        <v>66.176734759780132</v>
      </c>
      <c r="K430" s="307">
        <f t="shared" ca="1" si="189"/>
        <v>576.64236210846286</v>
      </c>
      <c r="L430" s="304">
        <f t="shared" ca="1" si="174"/>
        <v>580.42723402808542</v>
      </c>
      <c r="M430" s="306">
        <f t="shared" ca="1" si="190"/>
        <v>1.4470328289150485</v>
      </c>
      <c r="N430" s="304">
        <f t="shared" ca="1" si="191"/>
        <v>82.908873913708391</v>
      </c>
      <c r="P430" s="310">
        <f t="shared" ca="1" si="192"/>
        <v>16</v>
      </c>
      <c r="Q430" s="304">
        <f t="shared" ca="1" si="193"/>
        <v>470.92916666671312</v>
      </c>
      <c r="R430" s="306">
        <f t="shared" ca="1" si="194"/>
        <v>0.23590361217272182</v>
      </c>
      <c r="S430" s="307">
        <f t="shared" ca="1" si="195"/>
        <v>10.684104907787754</v>
      </c>
      <c r="T430" s="304">
        <f t="shared" ca="1" si="175"/>
        <v>104.81106914539787</v>
      </c>
      <c r="U430" s="311">
        <f t="shared" ca="1" si="176"/>
        <v>0</v>
      </c>
      <c r="V430" s="306">
        <f t="shared" ca="1" si="177"/>
        <v>1.1563408979801617</v>
      </c>
      <c r="W430" s="304">
        <f t="shared" ca="1" si="178"/>
        <v>253.35118360073076</v>
      </c>
      <c r="Y430" s="314" t="str">
        <f t="shared" ca="1" si="196"/>
        <v/>
      </c>
      <c r="Z430" s="315" t="str">
        <f t="shared" ca="1" si="197"/>
        <v/>
      </c>
      <c r="AA430" s="316" t="str">
        <f t="shared" ca="1" si="198"/>
        <v/>
      </c>
      <c r="AC430" s="310" t="e">
        <f t="shared" ca="1" si="199"/>
        <v>#N/A</v>
      </c>
      <c r="AD430" s="323" t="e">
        <f t="shared" ca="1" si="200"/>
        <v>#N/A</v>
      </c>
      <c r="AE430" s="324">
        <f t="shared" ca="1" si="179"/>
        <v>576.64236210846286</v>
      </c>
      <c r="AG430" s="306">
        <f t="shared" ca="1" si="201"/>
        <v>10.646198995762985</v>
      </c>
      <c r="AH430" s="304">
        <f t="shared" ca="1" si="202"/>
        <v>20.38122681946934</v>
      </c>
    </row>
    <row r="431" spans="1:34" x14ac:dyDescent="0.25">
      <c r="A431" s="347">
        <f t="shared" ca="1" si="180"/>
        <v>0.01</v>
      </c>
      <c r="B431" s="304">
        <f t="shared" ca="1" si="181"/>
        <v>4.2699999999999534</v>
      </c>
      <c r="D431" s="306">
        <f t="shared" ca="1" si="182"/>
        <v>2.398463508887636</v>
      </c>
      <c r="E431" s="307">
        <f t="shared" ca="1" si="183"/>
        <v>9.4703609188407771</v>
      </c>
      <c r="F431" s="304">
        <f t="shared" ca="1" si="184"/>
        <v>9.7693583789608365</v>
      </c>
      <c r="G431" s="306">
        <f t="shared" ca="1" si="185"/>
        <v>28.367765448261036</v>
      </c>
      <c r="H431" s="307">
        <f t="shared" ca="1" si="186"/>
        <v>227.93987275913332</v>
      </c>
      <c r="I431" s="304">
        <f t="shared" ca="1" si="187"/>
        <v>229.69831455624015</v>
      </c>
      <c r="J431" s="306">
        <f t="shared" ca="1" si="188"/>
        <v>66.460292491087301</v>
      </c>
      <c r="K431" s="307">
        <f t="shared" ca="1" si="189"/>
        <v>578.92128731800824</v>
      </c>
      <c r="L431" s="304">
        <f t="shared" ca="1" si="174"/>
        <v>582.7236286507873</v>
      </c>
      <c r="M431" s="306">
        <f t="shared" ca="1" si="190"/>
        <v>1.4469801065969656</v>
      </c>
      <c r="N431" s="304">
        <f t="shared" ca="1" si="191"/>
        <v>82.905853147396101</v>
      </c>
      <c r="P431" s="310">
        <f t="shared" ca="1" si="192"/>
        <v>16</v>
      </c>
      <c r="Q431" s="304">
        <f t="shared" ca="1" si="193"/>
        <v>460.8875000000466</v>
      </c>
      <c r="R431" s="306">
        <f t="shared" ca="1" si="194"/>
        <v>0.23087341738638456</v>
      </c>
      <c r="S431" s="307">
        <f t="shared" ca="1" si="195"/>
        <v>10.68179617361389</v>
      </c>
      <c r="T431" s="304">
        <f t="shared" ca="1" si="175"/>
        <v>104.78842046315226</v>
      </c>
      <c r="U431" s="311">
        <f t="shared" ca="1" si="176"/>
        <v>0</v>
      </c>
      <c r="V431" s="306">
        <f t="shared" ca="1" si="177"/>
        <v>1.156077186499411</v>
      </c>
      <c r="W431" s="304">
        <f t="shared" ca="1" si="178"/>
        <v>253.50733717847612</v>
      </c>
      <c r="Y431" s="314" t="str">
        <f t="shared" ca="1" si="196"/>
        <v/>
      </c>
      <c r="Z431" s="315" t="str">
        <f t="shared" ca="1" si="197"/>
        <v/>
      </c>
      <c r="AA431" s="316" t="str">
        <f t="shared" ca="1" si="198"/>
        <v/>
      </c>
      <c r="AC431" s="310" t="e">
        <f t="shared" ca="1" si="199"/>
        <v>#N/A</v>
      </c>
      <c r="AD431" s="323" t="e">
        <f t="shared" ca="1" si="200"/>
        <v>#N/A</v>
      </c>
      <c r="AE431" s="324">
        <f t="shared" ca="1" si="179"/>
        <v>578.92128731800824</v>
      </c>
      <c r="AG431" s="306">
        <f t="shared" ca="1" si="201"/>
        <v>9.6940077889350196</v>
      </c>
      <c r="AH431" s="304">
        <f t="shared" ca="1" si="202"/>
        <v>19.428971778357916</v>
      </c>
    </row>
    <row r="432" spans="1:34" x14ac:dyDescent="0.25">
      <c r="A432" s="347">
        <f t="shared" ca="1" si="180"/>
        <v>0.01</v>
      </c>
      <c r="B432" s="304">
        <f t="shared" ca="1" si="181"/>
        <v>4.2799999999999532</v>
      </c>
      <c r="D432" s="306">
        <f t="shared" ca="1" si="182"/>
        <v>2.2820580011068308</v>
      </c>
      <c r="E432" s="307">
        <f t="shared" ca="1" si="183"/>
        <v>8.5267284021709937</v>
      </c>
      <c r="F432" s="304">
        <f t="shared" ca="1" si="184"/>
        <v>8.8268276274551329</v>
      </c>
      <c r="G432" s="306">
        <f t="shared" ca="1" si="185"/>
        <v>28.390586028272104</v>
      </c>
      <c r="H432" s="307">
        <f t="shared" ca="1" si="186"/>
        <v>228.02514004315503</v>
      </c>
      <c r="I432" s="304">
        <f t="shared" ca="1" si="187"/>
        <v>229.78574774500089</v>
      </c>
      <c r="J432" s="306">
        <f t="shared" ca="1" si="188"/>
        <v>66.74408424846996</v>
      </c>
      <c r="K432" s="307">
        <f t="shared" ca="1" si="189"/>
        <v>581.20111238201969</v>
      </c>
      <c r="L432" s="304">
        <f t="shared" ca="1" si="174"/>
        <v>585.02094476716297</v>
      </c>
      <c r="M432" s="306">
        <f t="shared" ca="1" si="190"/>
        <v>1.4469273820037136</v>
      </c>
      <c r="N432" s="304">
        <f t="shared" ca="1" si="191"/>
        <v>82.90283225072622</v>
      </c>
      <c r="P432" s="310">
        <f t="shared" ca="1" si="192"/>
        <v>16</v>
      </c>
      <c r="Q432" s="304">
        <f t="shared" ca="1" si="193"/>
        <v>450.84583333338009</v>
      </c>
      <c r="R432" s="306">
        <f t="shared" ca="1" si="194"/>
        <v>0.22584322260004733</v>
      </c>
      <c r="S432" s="307">
        <f t="shared" ca="1" si="195"/>
        <v>10.67953774138789</v>
      </c>
      <c r="T432" s="304">
        <f t="shared" ca="1" si="175"/>
        <v>104.7662652430152</v>
      </c>
      <c r="U432" s="311">
        <f t="shared" ca="1" si="176"/>
        <v>0</v>
      </c>
      <c r="V432" s="306">
        <f t="shared" ca="1" si="177"/>
        <v>1.1558134293251099</v>
      </c>
      <c r="W432" s="304">
        <f t="shared" ca="1" si="178"/>
        <v>253.64248445417959</v>
      </c>
      <c r="Y432" s="314" t="str">
        <f t="shared" ca="1" si="196"/>
        <v/>
      </c>
      <c r="Z432" s="315" t="str">
        <f t="shared" ca="1" si="197"/>
        <v/>
      </c>
      <c r="AA432" s="316" t="str">
        <f t="shared" ca="1" si="198"/>
        <v/>
      </c>
      <c r="AC432" s="310" t="e">
        <f t="shared" ca="1" si="199"/>
        <v>#N/A</v>
      </c>
      <c r="AD432" s="323" t="e">
        <f t="shared" ca="1" si="200"/>
        <v>#N/A</v>
      </c>
      <c r="AE432" s="324">
        <f t="shared" ca="1" si="179"/>
        <v>581.20111238201969</v>
      </c>
      <c r="AG432" s="306">
        <f t="shared" ca="1" si="201"/>
        <v>8.7432869372036528</v>
      </c>
      <c r="AH432" s="304">
        <f t="shared" ca="1" si="202"/>
        <v>18.478187065169571</v>
      </c>
    </row>
    <row r="433" spans="1:34" x14ac:dyDescent="0.25">
      <c r="A433" s="347">
        <f t="shared" ca="1" si="180"/>
        <v>0.01</v>
      </c>
      <c r="B433" s="304">
        <f t="shared" ca="1" si="181"/>
        <v>4.289999999999953</v>
      </c>
      <c r="D433" s="306">
        <f t="shared" ca="1" si="182"/>
        <v>2.1657362161652918</v>
      </c>
      <c r="E433" s="307">
        <f t="shared" ca="1" si="183"/>
        <v>7.5845794389676318</v>
      </c>
      <c r="F433" s="304">
        <f t="shared" ca="1" si="184"/>
        <v>7.8877283563786929</v>
      </c>
      <c r="G433" s="306">
        <f t="shared" ca="1" si="185"/>
        <v>28.412243390433755</v>
      </c>
      <c r="H433" s="307">
        <f t="shared" ca="1" si="186"/>
        <v>228.1009858375447</v>
      </c>
      <c r="I433" s="304">
        <f t="shared" ca="1" si="187"/>
        <v>229.86368855157835</v>
      </c>
      <c r="J433" s="306">
        <f t="shared" ca="1" si="188"/>
        <v>67.028098395563489</v>
      </c>
      <c r="K433" s="307">
        <f t="shared" ca="1" si="189"/>
        <v>583.48174301142319</v>
      </c>
      <c r="L433" s="304">
        <f t="shared" ca="1" si="174"/>
        <v>587.31908738110485</v>
      </c>
      <c r="M433" s="306">
        <f t="shared" ca="1" si="190"/>
        <v>1.446874652958813</v>
      </c>
      <c r="N433" s="304">
        <f t="shared" ca="1" si="191"/>
        <v>82.899811098995656</v>
      </c>
      <c r="P433" s="310">
        <f t="shared" ca="1" si="192"/>
        <v>16</v>
      </c>
      <c r="Q433" s="304">
        <f t="shared" ca="1" si="193"/>
        <v>440.80416666671357</v>
      </c>
      <c r="R433" s="306">
        <f t="shared" ca="1" si="194"/>
        <v>0.22081302781371007</v>
      </c>
      <c r="S433" s="307">
        <f t="shared" ca="1" si="195"/>
        <v>10.677329611109753</v>
      </c>
      <c r="T433" s="304">
        <f t="shared" ca="1" si="175"/>
        <v>104.74460348498668</v>
      </c>
      <c r="U433" s="311">
        <f t="shared" ca="1" si="176"/>
        <v>0</v>
      </c>
      <c r="V433" s="306">
        <f t="shared" ca="1" si="177"/>
        <v>1.1555496374118852</v>
      </c>
      <c r="W433" s="304">
        <f t="shared" ca="1" si="178"/>
        <v>253.75665089953392</v>
      </c>
      <c r="Y433" s="314" t="str">
        <f t="shared" ca="1" si="196"/>
        <v/>
      </c>
      <c r="Z433" s="315" t="str">
        <f t="shared" ca="1" si="197"/>
        <v/>
      </c>
      <c r="AA433" s="316" t="str">
        <f t="shared" ca="1" si="198"/>
        <v/>
      </c>
      <c r="AC433" s="310" t="e">
        <f t="shared" ca="1" si="199"/>
        <v>#N/A</v>
      </c>
      <c r="AD433" s="323" t="e">
        <f t="shared" ca="1" si="200"/>
        <v>#N/A</v>
      </c>
      <c r="AE433" s="324">
        <f t="shared" ca="1" si="179"/>
        <v>583.48174301142319</v>
      </c>
      <c r="AG433" s="306">
        <f t="shared" ca="1" si="201"/>
        <v>7.794048702646645</v>
      </c>
      <c r="AH433" s="304">
        <f t="shared" ca="1" si="202"/>
        <v>17.528884939338425</v>
      </c>
    </row>
    <row r="434" spans="1:34" x14ac:dyDescent="0.25">
      <c r="A434" s="347">
        <f t="shared" ca="1" si="180"/>
        <v>0.01</v>
      </c>
      <c r="B434" s="304">
        <f t="shared" ca="1" si="181"/>
        <v>4.2999999999999527</v>
      </c>
      <c r="D434" s="306">
        <f t="shared" ca="1" si="182"/>
        <v>2.0494998946288749</v>
      </c>
      <c r="E434" s="307">
        <f t="shared" ca="1" si="183"/>
        <v>6.6439258662057217</v>
      </c>
      <c r="F434" s="304">
        <f t="shared" ca="1" si="184"/>
        <v>6.95285558125014</v>
      </c>
      <c r="G434" s="306">
        <f t="shared" ca="1" si="185"/>
        <v>28.432738389380045</v>
      </c>
      <c r="H434" s="307">
        <f t="shared" ca="1" si="186"/>
        <v>228.16742509620676</v>
      </c>
      <c r="I434" s="304">
        <f t="shared" ca="1" si="187"/>
        <v>229.93215192171809</v>
      </c>
      <c r="J434" s="306">
        <f t="shared" ca="1" si="188"/>
        <v>67.312323304462552</v>
      </c>
      <c r="K434" s="307">
        <f t="shared" ca="1" si="189"/>
        <v>585.763085066092</v>
      </c>
      <c r="L434" s="304">
        <f t="shared" ca="1" si="174"/>
        <v>589.617961645327</v>
      </c>
      <c r="M434" s="306">
        <f t="shared" ca="1" si="190"/>
        <v>1.4468219172899532</v>
      </c>
      <c r="N434" s="304">
        <f t="shared" ca="1" si="191"/>
        <v>82.896789567740186</v>
      </c>
      <c r="P434" s="310">
        <f t="shared" ca="1" si="192"/>
        <v>16</v>
      </c>
      <c r="Q434" s="304">
        <f t="shared" ca="1" si="193"/>
        <v>430.76250000004705</v>
      </c>
      <c r="R434" s="306">
        <f t="shared" ca="1" si="194"/>
        <v>0.21578283302737283</v>
      </c>
      <c r="S434" s="307">
        <f t="shared" ca="1" si="195"/>
        <v>10.675171782779479</v>
      </c>
      <c r="T434" s="304">
        <f t="shared" ca="1" si="175"/>
        <v>104.72343518906669</v>
      </c>
      <c r="U434" s="311">
        <f t="shared" ca="1" si="176"/>
        <v>0</v>
      </c>
      <c r="V434" s="306">
        <f t="shared" ca="1" si="177"/>
        <v>1.1552858216874635</v>
      </c>
      <c r="W434" s="304">
        <f t="shared" ca="1" si="178"/>
        <v>253.8498648899253</v>
      </c>
      <c r="Y434" s="314" t="str">
        <f t="shared" ca="1" si="196"/>
        <v/>
      </c>
      <c r="Z434" s="315" t="str">
        <f t="shared" ca="1" si="197"/>
        <v/>
      </c>
      <c r="AA434" s="316" t="str">
        <f t="shared" ca="1" si="198"/>
        <v/>
      </c>
      <c r="AC434" s="310" t="e">
        <f t="shared" ca="1" si="199"/>
        <v>#N/A</v>
      </c>
      <c r="AD434" s="323" t="e">
        <f t="shared" ca="1" si="200"/>
        <v>#N/A</v>
      </c>
      <c r="AE434" s="324">
        <f t="shared" ca="1" si="179"/>
        <v>585.763085066092</v>
      </c>
      <c r="AG434" s="306">
        <f t="shared" ca="1" si="201"/>
        <v>6.8463050413237898</v>
      </c>
      <c r="AH434" s="304">
        <f t="shared" ca="1" si="202"/>
        <v>16.581077354281824</v>
      </c>
    </row>
    <row r="435" spans="1:34" x14ac:dyDescent="0.25">
      <c r="A435" s="347">
        <f t="shared" ca="1" si="180"/>
        <v>0.01</v>
      </c>
      <c r="B435" s="304">
        <f t="shared" ca="1" si="181"/>
        <v>4.3099999999999525</v>
      </c>
      <c r="D435" s="306">
        <f t="shared" ca="1" si="182"/>
        <v>1.933350733683538</v>
      </c>
      <c r="E435" s="307">
        <f t="shared" ca="1" si="183"/>
        <v>5.7047792193382847</v>
      </c>
      <c r="F435" s="304">
        <f t="shared" ca="1" si="184"/>
        <v>6.0234832946417809</v>
      </c>
      <c r="G435" s="306">
        <f t="shared" ca="1" si="185"/>
        <v>28.45207189671688</v>
      </c>
      <c r="H435" s="307">
        <f t="shared" ca="1" si="186"/>
        <v>228.22447288840013</v>
      </c>
      <c r="I435" s="304">
        <f t="shared" ca="1" si="187"/>
        <v>229.99115291768081</v>
      </c>
      <c r="J435" s="306">
        <f t="shared" ca="1" si="188"/>
        <v>67.596747355893044</v>
      </c>
      <c r="K435" s="307">
        <f t="shared" ca="1" si="189"/>
        <v>588.045044556015</v>
      </c>
      <c r="L435" s="304">
        <f t="shared" ca="1" si="174"/>
        <v>591.91747286254531</v>
      </c>
      <c r="M435" s="306">
        <f t="shared" ca="1" si="190"/>
        <v>1.4467691728284793</v>
      </c>
      <c r="N435" s="304">
        <f t="shared" ca="1" si="191"/>
        <v>82.893767532705041</v>
      </c>
      <c r="P435" s="310">
        <f t="shared" ca="1" si="192"/>
        <v>16</v>
      </c>
      <c r="Q435" s="304">
        <f t="shared" ca="1" si="193"/>
        <v>420.72083333338054</v>
      </c>
      <c r="R435" s="306">
        <f t="shared" ca="1" si="194"/>
        <v>0.21075263824103557</v>
      </c>
      <c r="S435" s="307">
        <f t="shared" ca="1" si="195"/>
        <v>10.673064256397069</v>
      </c>
      <c r="T435" s="304">
        <f t="shared" ca="1" si="175"/>
        <v>104.70276035525525</v>
      </c>
      <c r="U435" s="311">
        <f t="shared" ca="1" si="176"/>
        <v>0</v>
      </c>
      <c r="V435" s="306">
        <f t="shared" ca="1" si="177"/>
        <v>1.1550219930525556</v>
      </c>
      <c r="W435" s="304">
        <f t="shared" ca="1" si="178"/>
        <v>253.92215767920518</v>
      </c>
      <c r="Y435" s="314" t="str">
        <f t="shared" ca="1" si="196"/>
        <v/>
      </c>
      <c r="Z435" s="315" t="str">
        <f t="shared" ca="1" si="197"/>
        <v/>
      </c>
      <c r="AA435" s="316" t="str">
        <f t="shared" ca="1" si="198"/>
        <v/>
      </c>
      <c r="AC435" s="310" t="e">
        <f t="shared" ca="1" si="199"/>
        <v>#N/A</v>
      </c>
      <c r="AD435" s="323" t="e">
        <f t="shared" ca="1" si="200"/>
        <v>#N/A</v>
      </c>
      <c r="AE435" s="324">
        <f t="shared" ca="1" si="179"/>
        <v>588.045044556015</v>
      </c>
      <c r="AG435" s="306">
        <f t="shared" ca="1" si="201"/>
        <v>5.9000676047531329</v>
      </c>
      <c r="AH435" s="304">
        <f t="shared" ca="1" si="202"/>
        <v>15.634775958875961</v>
      </c>
    </row>
    <row r="436" spans="1:34" x14ac:dyDescent="0.25">
      <c r="A436" s="347">
        <f t="shared" ca="1" si="180"/>
        <v>0.01</v>
      </c>
      <c r="B436" s="304">
        <f t="shared" ca="1" si="181"/>
        <v>4.3199999999999523</v>
      </c>
      <c r="D436" s="306">
        <f t="shared" ca="1" si="182"/>
        <v>1.7911558459956114</v>
      </c>
      <c r="E436" s="307">
        <f t="shared" ca="1" si="183"/>
        <v>4.5575160212320114</v>
      </c>
      <c r="F436" s="304">
        <f t="shared" ca="1" si="184"/>
        <v>4.896855271337996</v>
      </c>
      <c r="G436" s="306">
        <f t="shared" ca="1" si="185"/>
        <v>28.469983455176838</v>
      </c>
      <c r="H436" s="307">
        <f t="shared" ca="1" si="186"/>
        <v>228.27004804861244</v>
      </c>
      <c r="I436" s="304">
        <f t="shared" ca="1" si="187"/>
        <v>230.03859414031785</v>
      </c>
      <c r="J436" s="306">
        <f t="shared" ca="1" si="188"/>
        <v>67.881357632652509</v>
      </c>
      <c r="K436" s="307">
        <f t="shared" ca="1" si="189"/>
        <v>590.32751716070004</v>
      </c>
      <c r="L436" s="304">
        <f t="shared" ca="1" si="174"/>
        <v>594.21751592423516</v>
      </c>
      <c r="M436" s="306">
        <f t="shared" ca="1" si="190"/>
        <v>1.4467164169243998</v>
      </c>
      <c r="N436" s="304">
        <f t="shared" ca="1" si="191"/>
        <v>82.89074484205689</v>
      </c>
      <c r="P436" s="310">
        <f t="shared" ca="1" si="192"/>
        <v>17</v>
      </c>
      <c r="Q436" s="304">
        <f t="shared" ca="1" si="193"/>
        <v>408.42500000006868</v>
      </c>
      <c r="R436" s="306">
        <f t="shared" ca="1" si="194"/>
        <v>0.20459325864997518</v>
      </c>
      <c r="S436" s="307">
        <f t="shared" ca="1" si="195"/>
        <v>10.67101832381057</v>
      </c>
      <c r="T436" s="304">
        <f t="shared" ca="1" si="175"/>
        <v>104.68268975658169</v>
      </c>
      <c r="U436" s="311">
        <f t="shared" ca="1" si="176"/>
        <v>0</v>
      </c>
      <c r="V436" s="306">
        <f t="shared" ca="1" si="177"/>
        <v>1.1547581635921862</v>
      </c>
      <c r="W436" s="304">
        <f t="shared" ca="1" si="178"/>
        <v>253.9688989384878</v>
      </c>
      <c r="Y436" s="314" t="str">
        <f t="shared" ca="1" si="196"/>
        <v/>
      </c>
      <c r="Z436" s="315" t="str">
        <f t="shared" ca="1" si="197"/>
        <v/>
      </c>
      <c r="AA436" s="316" t="str">
        <f t="shared" ca="1" si="198"/>
        <v/>
      </c>
      <c r="AC436" s="310" t="e">
        <f t="shared" ca="1" si="199"/>
        <v>#N/A</v>
      </c>
      <c r="AD436" s="323" t="e">
        <f t="shared" ca="1" si="200"/>
        <v>#N/A</v>
      </c>
      <c r="AE436" s="324">
        <f t="shared" ca="1" si="179"/>
        <v>590.32751716070004</v>
      </c>
      <c r="AG436" s="306">
        <f t="shared" ca="1" si="201"/>
        <v>4.7440902517025769</v>
      </c>
      <c r="AH436" s="304">
        <f t="shared" ca="1" si="202"/>
        <v>14.478734609246859</v>
      </c>
    </row>
    <row r="437" spans="1:34" x14ac:dyDescent="0.25">
      <c r="A437" s="347">
        <f t="shared" ca="1" si="180"/>
        <v>0.01</v>
      </c>
      <c r="B437" s="304">
        <f t="shared" ca="1" si="181"/>
        <v>4.3299999999999521</v>
      </c>
      <c r="D437" s="306">
        <f t="shared" ca="1" si="182"/>
        <v>1.6229218431889831</v>
      </c>
      <c r="E437" s="307">
        <f t="shared" ca="1" si="183"/>
        <v>3.2024574082437081</v>
      </c>
      <c r="F437" s="304">
        <f t="shared" ca="1" si="184"/>
        <v>3.5902101276547773</v>
      </c>
      <c r="G437" s="306">
        <f t="shared" ca="1" si="185"/>
        <v>28.486212673608726</v>
      </c>
      <c r="H437" s="307">
        <f t="shared" ca="1" si="186"/>
        <v>228.30207262269488</v>
      </c>
      <c r="I437" s="304">
        <f t="shared" ca="1" si="187"/>
        <v>230.072381385303</v>
      </c>
      <c r="J437" s="306">
        <f t="shared" ca="1" si="188"/>
        <v>68.16613861329644</v>
      </c>
      <c r="K437" s="307">
        <f t="shared" ca="1" si="189"/>
        <v>592.61037776405658</v>
      </c>
      <c r="L437" s="304">
        <f t="shared" ca="1" si="174"/>
        <v>596.51796476477136</v>
      </c>
      <c r="M437" s="306">
        <f t="shared" ca="1" si="190"/>
        <v>1.4466636464461848</v>
      </c>
      <c r="N437" s="304">
        <f t="shared" ca="1" si="191"/>
        <v>82.887721316372293</v>
      </c>
      <c r="P437" s="310">
        <f t="shared" ca="1" si="192"/>
        <v>17</v>
      </c>
      <c r="Q437" s="304">
        <f t="shared" ca="1" si="193"/>
        <v>393.87500000006906</v>
      </c>
      <c r="R437" s="306">
        <f t="shared" ca="1" si="194"/>
        <v>0.19730469425417044</v>
      </c>
      <c r="S437" s="307">
        <f t="shared" ca="1" si="195"/>
        <v>10.669045276868028</v>
      </c>
      <c r="T437" s="304">
        <f t="shared" ca="1" si="175"/>
        <v>104.66333416607536</v>
      </c>
      <c r="U437" s="311">
        <f t="shared" ca="1" si="176"/>
        <v>0</v>
      </c>
      <c r="V437" s="306">
        <f t="shared" ca="1" si="177"/>
        <v>1.1544943477836256</v>
      </c>
      <c r="W437" s="304">
        <f t="shared" ca="1" si="178"/>
        <v>253.98546977538234</v>
      </c>
      <c r="Y437" s="314" t="str">
        <f t="shared" ca="1" si="196"/>
        <v/>
      </c>
      <c r="Z437" s="315" t="str">
        <f t="shared" ca="1" si="197"/>
        <v/>
      </c>
      <c r="AA437" s="316" t="str">
        <f t="shared" ca="1" si="198"/>
        <v/>
      </c>
      <c r="AC437" s="310" t="e">
        <f t="shared" ca="1" si="199"/>
        <v>#N/A</v>
      </c>
      <c r="AD437" s="323" t="e">
        <f t="shared" ca="1" si="200"/>
        <v>#N/A</v>
      </c>
      <c r="AE437" s="324">
        <f t="shared" ca="1" si="179"/>
        <v>592.61037776405658</v>
      </c>
      <c r="AG437" s="306">
        <f t="shared" ca="1" si="201"/>
        <v>3.3786924641174352</v>
      </c>
      <c r="AH437" s="304">
        <f t="shared" ca="1" si="202"/>
        <v>13.113272784109101</v>
      </c>
    </row>
    <row r="438" spans="1:34" x14ac:dyDescent="0.25">
      <c r="A438" s="347">
        <f t="shared" ca="1" si="180"/>
        <v>0.01</v>
      </c>
      <c r="B438" s="304">
        <f t="shared" ca="1" si="181"/>
        <v>4.3399999999999519</v>
      </c>
      <c r="D438" s="306">
        <f t="shared" ca="1" si="182"/>
        <v>1.4548227506810048</v>
      </c>
      <c r="E438" s="307">
        <f t="shared" ca="1" si="183"/>
        <v>1.8496422657068887</v>
      </c>
      <c r="F438" s="304">
        <f t="shared" ca="1" si="184"/>
        <v>2.3532287918917612</v>
      </c>
      <c r="G438" s="306">
        <f t="shared" ca="1" si="185"/>
        <v>28.500760901115537</v>
      </c>
      <c r="H438" s="307">
        <f t="shared" ca="1" si="186"/>
        <v>228.32056904535196</v>
      </c>
      <c r="I438" s="304">
        <f t="shared" ca="1" si="187"/>
        <v>230.09253708266135</v>
      </c>
      <c r="J438" s="306">
        <f t="shared" ca="1" si="188"/>
        <v>68.451073481170056</v>
      </c>
      <c r="K438" s="307">
        <f t="shared" ca="1" si="189"/>
        <v>594.89349097239676</v>
      </c>
      <c r="L438" s="304">
        <f t="shared" ca="1" si="174"/>
        <v>598.81868296008406</v>
      </c>
      <c r="M438" s="306">
        <f t="shared" ca="1" si="190"/>
        <v>1.4466108582649102</v>
      </c>
      <c r="N438" s="304">
        <f t="shared" ca="1" si="191"/>
        <v>82.884696776377083</v>
      </c>
      <c r="P438" s="310">
        <f t="shared" ca="1" si="192"/>
        <v>17</v>
      </c>
      <c r="Q438" s="304">
        <f t="shared" ca="1" si="193"/>
        <v>379.32500000006945</v>
      </c>
      <c r="R438" s="306">
        <f t="shared" ca="1" si="194"/>
        <v>0.19001612985836566</v>
      </c>
      <c r="S438" s="307">
        <f t="shared" ca="1" si="195"/>
        <v>10.667145115569443</v>
      </c>
      <c r="T438" s="304">
        <f t="shared" ca="1" si="175"/>
        <v>104.64469358373624</v>
      </c>
      <c r="U438" s="311">
        <f t="shared" ca="1" si="176"/>
        <v>0</v>
      </c>
      <c r="V438" s="306">
        <f t="shared" ca="1" si="177"/>
        <v>1.154230561278637</v>
      </c>
      <c r="W438" s="304">
        <f t="shared" ca="1" si="178"/>
        <v>253.97193052599704</v>
      </c>
      <c r="Y438" s="314" t="str">
        <f t="shared" ca="1" si="196"/>
        <v/>
      </c>
      <c r="Z438" s="315" t="str">
        <f t="shared" ca="1" si="197"/>
        <v/>
      </c>
      <c r="AA438" s="316" t="str">
        <f t="shared" ca="1" si="198"/>
        <v/>
      </c>
      <c r="AC438" s="310" t="e">
        <f t="shared" ca="1" si="199"/>
        <v>#N/A</v>
      </c>
      <c r="AD438" s="323" t="e">
        <f t="shared" ca="1" si="200"/>
        <v>#N/A</v>
      </c>
      <c r="AE438" s="324">
        <f t="shared" ca="1" si="179"/>
        <v>594.89349097239676</v>
      </c>
      <c r="AG438" s="306">
        <f t="shared" ca="1" si="201"/>
        <v>2.0155376771327074</v>
      </c>
      <c r="AH438" s="304">
        <f t="shared" ca="1" si="202"/>
        <v>11.750053914776627</v>
      </c>
    </row>
    <row r="439" spans="1:34" x14ac:dyDescent="0.25">
      <c r="A439" s="347">
        <f t="shared" ca="1" si="180"/>
        <v>0.01</v>
      </c>
      <c r="B439" s="304">
        <f t="shared" ca="1" si="181"/>
        <v>4.3499999999999517</v>
      </c>
      <c r="D439" s="306">
        <f t="shared" ca="1" si="182"/>
        <v>1.2868618049521863</v>
      </c>
      <c r="E439" s="307">
        <f t="shared" ca="1" si="183"/>
        <v>0.49909387327661925</v>
      </c>
      <c r="F439" s="304">
        <f t="shared" ca="1" si="184"/>
        <v>1.3802564976797091</v>
      </c>
      <c r="G439" s="306">
        <f t="shared" ca="1" si="185"/>
        <v>28.513629519165058</v>
      </c>
      <c r="H439" s="307">
        <f t="shared" ca="1" si="186"/>
        <v>228.32555998408472</v>
      </c>
      <c r="I439" s="304">
        <f t="shared" ca="1" si="187"/>
        <v>230.09908389735511</v>
      </c>
      <c r="J439" s="306">
        <f t="shared" ca="1" si="188"/>
        <v>68.73614543327146</v>
      </c>
      <c r="K439" s="307">
        <f t="shared" ca="1" si="189"/>
        <v>597.17672161754399</v>
      </c>
      <c r="L439" s="304">
        <f t="shared" ca="1" si="174"/>
        <v>601.11953431152233</v>
      </c>
      <c r="M439" s="306">
        <f t="shared" ca="1" si="190"/>
        <v>1.4465580492532062</v>
      </c>
      <c r="N439" s="304">
        <f t="shared" ca="1" si="191"/>
        <v>82.881671042886182</v>
      </c>
      <c r="P439" s="310">
        <f t="shared" ca="1" si="192"/>
        <v>17</v>
      </c>
      <c r="Q439" s="304">
        <f t="shared" ca="1" si="193"/>
        <v>364.77500000006984</v>
      </c>
      <c r="R439" s="306">
        <f t="shared" ca="1" si="194"/>
        <v>0.18272756546256091</v>
      </c>
      <c r="S439" s="307">
        <f t="shared" ca="1" si="195"/>
        <v>10.665317839914819</v>
      </c>
      <c r="T439" s="304">
        <f t="shared" ca="1" si="175"/>
        <v>104.62676800956437</v>
      </c>
      <c r="U439" s="311">
        <f t="shared" ca="1" si="176"/>
        <v>0</v>
      </c>
      <c r="V439" s="306">
        <f t="shared" ca="1" si="177"/>
        <v>1.1539668196890589</v>
      </c>
      <c r="W439" s="304">
        <f t="shared" ca="1" si="178"/>
        <v>253.92834737208338</v>
      </c>
      <c r="Y439" s="314" t="str">
        <f t="shared" ca="1" si="196"/>
        <v/>
      </c>
      <c r="Z439" s="315" t="str">
        <f t="shared" ca="1" si="197"/>
        <v/>
      </c>
      <c r="AA439" s="316" t="str">
        <f t="shared" ca="1" si="198"/>
        <v/>
      </c>
      <c r="AC439" s="310" t="e">
        <f t="shared" ca="1" si="199"/>
        <v>#N/A</v>
      </c>
      <c r="AD439" s="323" t="e">
        <f t="shared" ca="1" si="200"/>
        <v>#N/A</v>
      </c>
      <c r="AE439" s="324">
        <f t="shared" ca="1" si="179"/>
        <v>597.17672161754399</v>
      </c>
      <c r="AG439" s="306">
        <f t="shared" ca="1" si="201"/>
        <v>0.65464938445688325</v>
      </c>
      <c r="AH439" s="304">
        <f t="shared" ca="1" si="202"/>
        <v>10.389101491133598</v>
      </c>
    </row>
    <row r="440" spans="1:34" x14ac:dyDescent="0.25">
      <c r="A440" s="347">
        <f t="shared" ca="1" si="180"/>
        <v>0.01</v>
      </c>
      <c r="B440" s="304">
        <f t="shared" ca="1" si="181"/>
        <v>4.3599999999999515</v>
      </c>
      <c r="D440" s="306">
        <f t="shared" ca="1" si="182"/>
        <v>1.1190421532959727</v>
      </c>
      <c r="E440" s="307">
        <f t="shared" ca="1" si="183"/>
        <v>-0.84916510785257415</v>
      </c>
      <c r="F440" s="304">
        <f t="shared" ca="1" si="184"/>
        <v>1.4047550395878854</v>
      </c>
      <c r="G440" s="306">
        <f t="shared" ca="1" si="185"/>
        <v>28.524819940698016</v>
      </c>
      <c r="H440" s="307">
        <f t="shared" ca="1" si="186"/>
        <v>228.3170683330062</v>
      </c>
      <c r="I440" s="304">
        <f t="shared" ca="1" si="187"/>
        <v>230.09204472303659</v>
      </c>
      <c r="J440" s="306">
        <f t="shared" ca="1" si="188"/>
        <v>69.021337680570781</v>
      </c>
      <c r="K440" s="307">
        <f t="shared" ca="1" si="189"/>
        <v>599.4599347591294</v>
      </c>
      <c r="L440" s="304">
        <f t="shared" ca="1" si="174"/>
        <v>603.42038284817249</v>
      </c>
      <c r="M440" s="306">
        <f t="shared" ca="1" si="190"/>
        <v>1.4465052162842076</v>
      </c>
      <c r="N440" s="304">
        <f t="shared" ca="1" si="191"/>
        <v>82.878643936743416</v>
      </c>
      <c r="P440" s="310">
        <f t="shared" ca="1" si="192"/>
        <v>17</v>
      </c>
      <c r="Q440" s="304">
        <f t="shared" ca="1" si="193"/>
        <v>350.22500000007022</v>
      </c>
      <c r="R440" s="306">
        <f t="shared" ca="1" si="194"/>
        <v>0.17543900106675614</v>
      </c>
      <c r="S440" s="307">
        <f t="shared" ca="1" si="195"/>
        <v>10.663563449904151</v>
      </c>
      <c r="T440" s="304">
        <f t="shared" ca="1" si="175"/>
        <v>104.60955744355972</v>
      </c>
      <c r="U440" s="311">
        <f t="shared" ca="1" si="176"/>
        <v>0</v>
      </c>
      <c r="V440" s="306">
        <f t="shared" ca="1" si="177"/>
        <v>1.1537031385865779</v>
      </c>
      <c r="W440" s="304">
        <f t="shared" ca="1" si="178"/>
        <v>253.85479228703412</v>
      </c>
      <c r="Y440" s="314" t="str">
        <f t="shared" ca="1" si="196"/>
        <v/>
      </c>
      <c r="Z440" s="315" t="str">
        <f t="shared" ca="1" si="197"/>
        <v/>
      </c>
      <c r="AA440" s="316" t="str">
        <f t="shared" ca="1" si="198"/>
        <v/>
      </c>
      <c r="AC440" s="310" t="e">
        <f t="shared" ca="1" si="199"/>
        <v>#N/A</v>
      </c>
      <c r="AD440" s="323" t="e">
        <f t="shared" ca="1" si="200"/>
        <v>#N/A</v>
      </c>
      <c r="AE440" s="324">
        <f t="shared" ca="1" si="179"/>
        <v>599.4599347591294</v>
      </c>
      <c r="AG440" s="306">
        <f t="shared" ca="1" si="201"/>
        <v>-0.70394954491096939</v>
      </c>
      <c r="AH440" s="304">
        <f t="shared" ca="1" si="202"/>
        <v>9.030438378350194</v>
      </c>
    </row>
    <row r="441" spans="1:34" x14ac:dyDescent="0.25">
      <c r="A441" s="347">
        <f t="shared" ca="1" si="180"/>
        <v>0.01</v>
      </c>
      <c r="B441" s="304">
        <f t="shared" ca="1" si="181"/>
        <v>4.3699999999999513</v>
      </c>
      <c r="D441" s="306">
        <f t="shared" ca="1" si="182"/>
        <v>0.9513668541169028</v>
      </c>
      <c r="E441" s="307">
        <f t="shared" ca="1" si="183"/>
        <v>-2.1951126319905336</v>
      </c>
      <c r="F441" s="304">
        <f t="shared" ca="1" si="184"/>
        <v>2.3924084848195761</v>
      </c>
      <c r="G441" s="306">
        <f t="shared" ca="1" si="185"/>
        <v>28.534333609239184</v>
      </c>
      <c r="H441" s="307">
        <f t="shared" ca="1" si="186"/>
        <v>228.29511720668629</v>
      </c>
      <c r="I441" s="304">
        <f t="shared" ca="1" si="187"/>
        <v>230.07144267583055</v>
      </c>
      <c r="J441" s="306">
        <f t="shared" ca="1" si="188"/>
        <v>69.306633448320468</v>
      </c>
      <c r="K441" s="307">
        <f t="shared" ca="1" si="189"/>
        <v>601.74299568682784</v>
      </c>
      <c r="L441" s="304">
        <f t="shared" ca="1" si="174"/>
        <v>605.72109282911515</v>
      </c>
      <c r="M441" s="306">
        <f t="shared" ca="1" si="190"/>
        <v>1.4464523562305069</v>
      </c>
      <c r="N441" s="304">
        <f t="shared" ca="1" si="191"/>
        <v>82.875615278761529</v>
      </c>
      <c r="P441" s="310">
        <f t="shared" ca="1" si="192"/>
        <v>17</v>
      </c>
      <c r="Q441" s="304">
        <f t="shared" ca="1" si="193"/>
        <v>335.67500000007061</v>
      </c>
      <c r="R441" s="306">
        <f t="shared" ca="1" si="194"/>
        <v>0.16815043667095139</v>
      </c>
      <c r="S441" s="307">
        <f t="shared" ca="1" si="195"/>
        <v>10.661881945537441</v>
      </c>
      <c r="T441" s="304">
        <f t="shared" ca="1" si="175"/>
        <v>104.59306188572231</v>
      </c>
      <c r="U441" s="311">
        <f t="shared" ca="1" si="176"/>
        <v>0</v>
      </c>
      <c r="V441" s="306">
        <f t="shared" ca="1" si="177"/>
        <v>1.1534395335025109</v>
      </c>
      <c r="W441" s="304">
        <f t="shared" ca="1" si="178"/>
        <v>253.75134298163627</v>
      </c>
      <c r="Y441" s="314" t="str">
        <f t="shared" ca="1" si="196"/>
        <v/>
      </c>
      <c r="Z441" s="315" t="str">
        <f t="shared" ca="1" si="197"/>
        <v/>
      </c>
      <c r="AA441" s="316" t="str">
        <f t="shared" ca="1" si="198"/>
        <v/>
      </c>
      <c r="AC441" s="310" t="e">
        <f t="shared" ca="1" si="199"/>
        <v>#N/A</v>
      </c>
      <c r="AD441" s="323" t="e">
        <f t="shared" ca="1" si="200"/>
        <v>#N/A</v>
      </c>
      <c r="AE441" s="324">
        <f t="shared" ca="1" si="179"/>
        <v>601.74299568682784</v>
      </c>
      <c r="AG441" s="306">
        <f t="shared" ca="1" si="201"/>
        <v>-2.0602368637134107</v>
      </c>
      <c r="AH441" s="304">
        <f t="shared" ca="1" si="202"/>
        <v>7.6740868198491503</v>
      </c>
    </row>
    <row r="442" spans="1:34" x14ac:dyDescent="0.25">
      <c r="A442" s="347">
        <f t="shared" ca="1" si="180"/>
        <v>0.01</v>
      </c>
      <c r="B442" s="304">
        <f t="shared" ca="1" si="181"/>
        <v>4.379999999999951</v>
      </c>
      <c r="D442" s="306">
        <f t="shared" ca="1" si="182"/>
        <v>0.78383887723349932</v>
      </c>
      <c r="E442" s="307">
        <f t="shared" ca="1" si="183"/>
        <v>-3.5387272659054654</v>
      </c>
      <c r="F442" s="304">
        <f t="shared" ca="1" si="184"/>
        <v>3.624499144423329</v>
      </c>
      <c r="G442" s="306">
        <f t="shared" ca="1" si="185"/>
        <v>28.542171998011518</v>
      </c>
      <c r="H442" s="307">
        <f t="shared" ca="1" si="186"/>
        <v>228.25972993402723</v>
      </c>
      <c r="I442" s="304">
        <f t="shared" ca="1" si="187"/>
        <v>230.0373010881477</v>
      </c>
      <c r="J442" s="306">
        <f t="shared" ca="1" si="188"/>
        <v>69.59201597635672</v>
      </c>
      <c r="K442" s="307">
        <f t="shared" ca="1" si="189"/>
        <v>604.02576992253137</v>
      </c>
      <c r="L442" s="304">
        <f t="shared" ca="1" si="174"/>
        <v>608.02152874561955</v>
      </c>
      <c r="M442" s="306">
        <f t="shared" ca="1" si="190"/>
        <v>1.4463994659631068</v>
      </c>
      <c r="N442" s="304">
        <f t="shared" ca="1" si="191"/>
        <v>82.872584889662178</v>
      </c>
      <c r="P442" s="310">
        <f t="shared" ca="1" si="192"/>
        <v>17</v>
      </c>
      <c r="Q442" s="304">
        <f t="shared" ca="1" si="193"/>
        <v>321.125000000071</v>
      </c>
      <c r="R442" s="306">
        <f t="shared" ca="1" si="194"/>
        <v>0.16086187227514662</v>
      </c>
      <c r="S442" s="307">
        <f t="shared" ca="1" si="195"/>
        <v>10.660273326814689</v>
      </c>
      <c r="T442" s="304">
        <f t="shared" ca="1" si="175"/>
        <v>104.57728133605211</v>
      </c>
      <c r="U442" s="311">
        <f t="shared" ca="1" si="176"/>
        <v>0</v>
      </c>
      <c r="V442" s="306">
        <f t="shared" ca="1" si="177"/>
        <v>1.1531760199275964</v>
      </c>
      <c r="W442" s="304">
        <f t="shared" ca="1" si="178"/>
        <v>253.6180828496048</v>
      </c>
      <c r="Y442" s="314" t="str">
        <f t="shared" ca="1" si="196"/>
        <v/>
      </c>
      <c r="Z442" s="315" t="str">
        <f t="shared" ca="1" si="197"/>
        <v/>
      </c>
      <c r="AA442" s="316" t="str">
        <f t="shared" ca="1" si="198"/>
        <v/>
      </c>
      <c r="AC442" s="310" t="e">
        <f t="shared" ca="1" si="199"/>
        <v>#N/A</v>
      </c>
      <c r="AD442" s="323" t="e">
        <f t="shared" ca="1" si="200"/>
        <v>#N/A</v>
      </c>
      <c r="AE442" s="324">
        <f t="shared" ca="1" si="179"/>
        <v>604.02576992253137</v>
      </c>
      <c r="AG442" s="306">
        <f t="shared" ca="1" si="201"/>
        <v>-3.4141909433770508</v>
      </c>
      <c r="AH442" s="304">
        <f t="shared" ca="1" si="202"/>
        <v>6.3200684403620357</v>
      </c>
    </row>
    <row r="443" spans="1:34" x14ac:dyDescent="0.25">
      <c r="A443" s="347">
        <f t="shared" ca="1" si="180"/>
        <v>0.01</v>
      </c>
      <c r="B443" s="304">
        <f t="shared" ca="1" si="181"/>
        <v>4.3899999999999508</v>
      </c>
      <c r="D443" s="306">
        <f t="shared" ca="1" si="182"/>
        <v>0.6164611041856205</v>
      </c>
      <c r="E443" s="307">
        <f t="shared" ca="1" si="183"/>
        <v>-4.8799881856908041</v>
      </c>
      <c r="F443" s="304">
        <f t="shared" ca="1" si="184"/>
        <v>4.9187710848804072</v>
      </c>
      <c r="G443" s="306">
        <f t="shared" ca="1" si="185"/>
        <v>28.548336609053376</v>
      </c>
      <c r="H443" s="307">
        <f t="shared" ca="1" si="186"/>
        <v>228.21093005217034</v>
      </c>
      <c r="I443" s="304">
        <f t="shared" ca="1" si="187"/>
        <v>229.98964350252905</v>
      </c>
      <c r="J443" s="306">
        <f t="shared" ca="1" si="188"/>
        <v>69.877468519392039</v>
      </c>
      <c r="K443" s="307">
        <f t="shared" ca="1" si="189"/>
        <v>606.30812322246231</v>
      </c>
      <c r="L443" s="304">
        <f t="shared" ca="1" si="174"/>
        <v>610.32155532327647</v>
      </c>
      <c r="M443" s="306">
        <f t="shared" ca="1" si="190"/>
        <v>1.4463465423503736</v>
      </c>
      <c r="N443" s="304">
        <f t="shared" ca="1" si="191"/>
        <v>82.869552590015985</v>
      </c>
      <c r="P443" s="310">
        <f t="shared" ca="1" si="192"/>
        <v>17</v>
      </c>
      <c r="Q443" s="304">
        <f t="shared" ca="1" si="193"/>
        <v>306.57500000007138</v>
      </c>
      <c r="R443" s="306">
        <f t="shared" ca="1" si="194"/>
        <v>0.15357330787934187</v>
      </c>
      <c r="S443" s="307">
        <f t="shared" ca="1" si="195"/>
        <v>10.658737593735896</v>
      </c>
      <c r="T443" s="304">
        <f t="shared" ca="1" si="175"/>
        <v>104.56221579454915</v>
      </c>
      <c r="U443" s="311">
        <f t="shared" ca="1" si="176"/>
        <v>0</v>
      </c>
      <c r="V443" s="306">
        <f t="shared" ca="1" si="177"/>
        <v>1.1529126133117955</v>
      </c>
      <c r="W443" s="304">
        <f t="shared" ca="1" si="178"/>
        <v>253.45510091291803</v>
      </c>
      <c r="Y443" s="314" t="str">
        <f t="shared" ca="1" si="196"/>
        <v/>
      </c>
      <c r="Z443" s="315" t="str">
        <f t="shared" ca="1" si="197"/>
        <v/>
      </c>
      <c r="AA443" s="316" t="str">
        <f t="shared" ca="1" si="198"/>
        <v/>
      </c>
      <c r="AC443" s="310" t="e">
        <f t="shared" ca="1" si="199"/>
        <v>#N/A</v>
      </c>
      <c r="AD443" s="323" t="e">
        <f t="shared" ca="1" si="200"/>
        <v>#N/A</v>
      </c>
      <c r="AE443" s="324">
        <f t="shared" ca="1" si="179"/>
        <v>606.30812322246231</v>
      </c>
      <c r="AG443" s="306">
        <f t="shared" ca="1" si="201"/>
        <v>-4.7657907708679934</v>
      </c>
      <c r="AH443" s="304">
        <f t="shared" ca="1" si="202"/>
        <v>4.9684042490725338</v>
      </c>
    </row>
    <row r="444" spans="1:34" x14ac:dyDescent="0.25">
      <c r="A444" s="347">
        <f t="shared" ca="1" si="180"/>
        <v>0.01</v>
      </c>
      <c r="B444" s="304">
        <f t="shared" ca="1" si="181"/>
        <v>4.3999999999999506</v>
      </c>
      <c r="D444" s="306">
        <f t="shared" ca="1" si="182"/>
        <v>0.44923632854598095</v>
      </c>
      <c r="E444" s="307">
        <f t="shared" ca="1" si="183"/>
        <v>-6.2188751735472776</v>
      </c>
      <c r="F444" s="304">
        <f t="shared" ca="1" si="184"/>
        <v>6.235079927558921</v>
      </c>
      <c r="G444" s="306">
        <f t="shared" ca="1" si="185"/>
        <v>28.552828972338837</v>
      </c>
      <c r="H444" s="307">
        <f t="shared" ca="1" si="186"/>
        <v>228.14874130043486</v>
      </c>
      <c r="I444" s="304">
        <f t="shared" ca="1" si="187"/>
        <v>229.92849366552286</v>
      </c>
      <c r="J444" s="306">
        <f t="shared" ca="1" si="188"/>
        <v>70.162974347298999</v>
      </c>
      <c r="K444" s="307">
        <f t="shared" ca="1" si="189"/>
        <v>608.58992157922535</v>
      </c>
      <c r="L444" s="304">
        <f t="shared" ca="1" si="174"/>
        <v>612.62103752406949</v>
      </c>
      <c r="M444" s="306">
        <f t="shared" ca="1" si="190"/>
        <v>1.4462935822569902</v>
      </c>
      <c r="N444" s="304">
        <f t="shared" ca="1" si="191"/>
        <v>82.866518200182497</v>
      </c>
      <c r="P444" s="310">
        <f t="shared" ca="1" si="192"/>
        <v>17</v>
      </c>
      <c r="Q444" s="304">
        <f t="shared" ca="1" si="193"/>
        <v>292.02500000007177</v>
      </c>
      <c r="R444" s="306">
        <f t="shared" ca="1" si="194"/>
        <v>0.14628474348353709</v>
      </c>
      <c r="S444" s="307">
        <f t="shared" ca="1" si="195"/>
        <v>10.657274746301061</v>
      </c>
      <c r="T444" s="304">
        <f t="shared" ca="1" si="175"/>
        <v>104.54786526121342</v>
      </c>
      <c r="U444" s="311">
        <f t="shared" ca="1" si="176"/>
        <v>0</v>
      </c>
      <c r="V444" s="306">
        <f t="shared" ca="1" si="177"/>
        <v>1.1526493290640989</v>
      </c>
      <c r="W444" s="304">
        <f t="shared" ca="1" si="178"/>
        <v>253.26249176697942</v>
      </c>
      <c r="Y444" s="314" t="str">
        <f t="shared" ca="1" si="196"/>
        <v/>
      </c>
      <c r="Z444" s="315" t="str">
        <f t="shared" ca="1" si="197"/>
        <v/>
      </c>
      <c r="AA444" s="316" t="str">
        <f t="shared" ca="1" si="198"/>
        <v/>
      </c>
      <c r="AC444" s="310" t="e">
        <f t="shared" ca="1" si="199"/>
        <v>#N/A</v>
      </c>
      <c r="AD444" s="323" t="e">
        <f t="shared" ca="1" si="200"/>
        <v>#N/A</v>
      </c>
      <c r="AE444" s="324">
        <f t="shared" ca="1" si="179"/>
        <v>608.58992157922535</v>
      </c>
      <c r="AG444" s="306">
        <f t="shared" ca="1" si="201"/>
        <v>-6.1150159454626305</v>
      </c>
      <c r="AH444" s="304">
        <f t="shared" ca="1" si="202"/>
        <v>3.6191146428443752</v>
      </c>
    </row>
    <row r="445" spans="1:34" x14ac:dyDescent="0.25">
      <c r="A445" s="347">
        <f t="shared" ca="1" si="180"/>
        <v>0.01</v>
      </c>
      <c r="B445" s="304">
        <f t="shared" ca="1" si="181"/>
        <v>4.4099999999999504</v>
      </c>
      <c r="D445" s="306">
        <f t="shared" ca="1" si="182"/>
        <v>0.28216725623555355</v>
      </c>
      <c r="E445" s="307">
        <f t="shared" ca="1" si="183"/>
        <v>-7.5553686144828403</v>
      </c>
      <c r="F445" s="304">
        <f t="shared" ca="1" si="184"/>
        <v>7.5606357709655514</v>
      </c>
      <c r="G445" s="306">
        <f t="shared" ca="1" si="185"/>
        <v>28.555650644901192</v>
      </c>
      <c r="H445" s="307">
        <f t="shared" ca="1" si="186"/>
        <v>228.07318761429005</v>
      </c>
      <c r="I445" s="304">
        <f t="shared" ca="1" si="187"/>
        <v>229.8538755215948</v>
      </c>
      <c r="J445" s="306">
        <f t="shared" ca="1" si="188"/>
        <v>70.448516745385206</v>
      </c>
      <c r="K445" s="307">
        <f t="shared" ca="1" si="189"/>
        <v>610.87103122379892</v>
      </c>
      <c r="L445" s="304">
        <f t="shared" ca="1" si="174"/>
        <v>614.91984054838588</v>
      </c>
      <c r="M445" s="306">
        <f t="shared" ca="1" si="190"/>
        <v>1.4462405825429068</v>
      </c>
      <c r="N445" s="304">
        <f t="shared" ca="1" si="191"/>
        <v>82.86348154025012</v>
      </c>
      <c r="P445" s="310">
        <f t="shared" ca="1" si="192"/>
        <v>17</v>
      </c>
      <c r="Q445" s="304">
        <f t="shared" ca="1" si="193"/>
        <v>277.47500000007216</v>
      </c>
      <c r="R445" s="306">
        <f t="shared" ca="1" si="194"/>
        <v>0.13899617908773235</v>
      </c>
      <c r="S445" s="307">
        <f t="shared" ca="1" si="195"/>
        <v>10.655884784510183</v>
      </c>
      <c r="T445" s="304">
        <f t="shared" ca="1" si="175"/>
        <v>104.53422973604491</v>
      </c>
      <c r="U445" s="311">
        <f t="shared" ca="1" si="176"/>
        <v>0</v>
      </c>
      <c r="V445" s="306">
        <f t="shared" ca="1" si="177"/>
        <v>1.1523861825523516</v>
      </c>
      <c r="W445" s="304">
        <f t="shared" ca="1" si="178"/>
        <v>253.04035552563096</v>
      </c>
      <c r="Y445" s="314" t="str">
        <f t="shared" ca="1" si="196"/>
        <v/>
      </c>
      <c r="Z445" s="315" t="str">
        <f t="shared" ca="1" si="197"/>
        <v/>
      </c>
      <c r="AA445" s="316" t="str">
        <f t="shared" ca="1" si="198"/>
        <v/>
      </c>
      <c r="AC445" s="310" t="e">
        <f t="shared" ca="1" si="199"/>
        <v>#N/A</v>
      </c>
      <c r="AD445" s="323" t="e">
        <f t="shared" ca="1" si="200"/>
        <v>#N/A</v>
      </c>
      <c r="AE445" s="324">
        <f t="shared" ca="1" si="179"/>
        <v>610.87103122379892</v>
      </c>
      <c r="AG445" s="306">
        <f t="shared" ca="1" si="201"/>
        <v>-7.4618466754364068</v>
      </c>
      <c r="AH445" s="304">
        <f t="shared" ca="1" si="202"/>
        <v>2.2722194095312473</v>
      </c>
    </row>
    <row r="446" spans="1:34" x14ac:dyDescent="0.25">
      <c r="A446" s="347">
        <f t="shared" ca="1" si="180"/>
        <v>0.01</v>
      </c>
      <c r="B446" s="304">
        <f t="shared" ca="1" si="181"/>
        <v>4.4199999999999502</v>
      </c>
      <c r="D446" s="306">
        <f t="shared" ca="1" si="182"/>
        <v>0.13118330444947232</v>
      </c>
      <c r="E446" s="307">
        <f t="shared" ca="1" si="183"/>
        <v>-8.7622425953579413</v>
      </c>
      <c r="F446" s="304">
        <f t="shared" ca="1" si="184"/>
        <v>8.7632245411875278</v>
      </c>
      <c r="G446" s="306">
        <f t="shared" ca="1" si="185"/>
        <v>28.556962477945685</v>
      </c>
      <c r="H446" s="307">
        <f t="shared" ca="1" si="186"/>
        <v>227.98556518833647</v>
      </c>
      <c r="I446" s="304">
        <f t="shared" ca="1" si="187"/>
        <v>229.76709520776038</v>
      </c>
      <c r="J446" s="306">
        <f t="shared" ca="1" si="188"/>
        <v>70.734079810999447</v>
      </c>
      <c r="K446" s="307">
        <f t="shared" ca="1" si="189"/>
        <v>613.15132498781202</v>
      </c>
      <c r="L446" s="304">
        <f t="shared" ca="1" si="174"/>
        <v>617.21783624666773</v>
      </c>
      <c r="M446" s="306">
        <f t="shared" ca="1" si="190"/>
        <v>1.4461875403582429</v>
      </c>
      <c r="N446" s="304">
        <f t="shared" ca="1" si="191"/>
        <v>82.860442446932737</v>
      </c>
      <c r="P446" s="310">
        <f t="shared" ca="1" si="192"/>
        <v>18</v>
      </c>
      <c r="Q446" s="304">
        <f t="shared" ca="1" si="193"/>
        <v>264.29090909096794</v>
      </c>
      <c r="R446" s="306">
        <f t="shared" ca="1" si="194"/>
        <v>0.13239184262098644</v>
      </c>
      <c r="S446" s="307">
        <f t="shared" ca="1" si="195"/>
        <v>10.654560866083974</v>
      </c>
      <c r="T446" s="304">
        <f t="shared" ca="1" si="175"/>
        <v>104.5212420962838</v>
      </c>
      <c r="U446" s="311">
        <f t="shared" ca="1" si="176"/>
        <v>0</v>
      </c>
      <c r="V446" s="306">
        <f t="shared" ca="1" si="177"/>
        <v>1.1521231883695966</v>
      </c>
      <c r="W446" s="304">
        <f t="shared" ca="1" si="178"/>
        <v>252.79161853230832</v>
      </c>
      <c r="Y446" s="314" t="str">
        <f t="shared" ca="1" si="196"/>
        <v/>
      </c>
      <c r="Z446" s="315" t="str">
        <f t="shared" ca="1" si="197"/>
        <v/>
      </c>
      <c r="AA446" s="316" t="str">
        <f t="shared" ca="1" si="198"/>
        <v/>
      </c>
      <c r="AC446" s="310" t="e">
        <f t="shared" ca="1" si="199"/>
        <v>#N/A</v>
      </c>
      <c r="AD446" s="323" t="e">
        <f t="shared" ca="1" si="200"/>
        <v>#N/A</v>
      </c>
      <c r="AE446" s="324">
        <f t="shared" ca="1" si="179"/>
        <v>613.15132498781202</v>
      </c>
      <c r="AG446" s="306">
        <f t="shared" ca="1" si="201"/>
        <v>-8.6780637056228009</v>
      </c>
      <c r="AH446" s="304">
        <f t="shared" ca="1" si="202"/>
        <v>1.0559378004165521</v>
      </c>
    </row>
    <row r="447" spans="1:34" x14ac:dyDescent="0.25">
      <c r="A447" s="347">
        <f t="shared" ca="1" si="180"/>
        <v>0.01</v>
      </c>
      <c r="B447" s="304">
        <f t="shared" ca="1" si="181"/>
        <v>4.42999999999995</v>
      </c>
      <c r="D447" s="306">
        <f t="shared" ca="1" si="182"/>
        <v>-3.7203413814827406E-3</v>
      </c>
      <c r="E447" s="307">
        <f t="shared" ca="1" si="183"/>
        <v>-9.8397014828942666</v>
      </c>
      <c r="F447" s="304">
        <f t="shared" ca="1" si="184"/>
        <v>9.8397021862153746</v>
      </c>
      <c r="G447" s="306">
        <f t="shared" ca="1" si="185"/>
        <v>28.556925274531871</v>
      </c>
      <c r="H447" s="307">
        <f t="shared" ca="1" si="186"/>
        <v>227.88716817350752</v>
      </c>
      <c r="I447" s="304">
        <f t="shared" ca="1" si="187"/>
        <v>229.66945682714473</v>
      </c>
      <c r="J447" s="306">
        <f t="shared" ca="1" si="188"/>
        <v>71.019649249761841</v>
      </c>
      <c r="K447" s="307">
        <f t="shared" ca="1" si="189"/>
        <v>615.43068865462124</v>
      </c>
      <c r="L447" s="304">
        <f t="shared" ca="1" si="174"/>
        <v>619.51490951990866</v>
      </c>
      <c r="M447" s="306">
        <f t="shared" ca="1" si="190"/>
        <v>1.4461344531433731</v>
      </c>
      <c r="N447" s="304">
        <f t="shared" ca="1" si="191"/>
        <v>82.857400773574582</v>
      </c>
      <c r="P447" s="310">
        <f t="shared" ca="1" si="192"/>
        <v>18</v>
      </c>
      <c r="Q447" s="304">
        <f t="shared" ca="1" si="193"/>
        <v>252.47272727278633</v>
      </c>
      <c r="R447" s="306">
        <f t="shared" ca="1" si="194"/>
        <v>0.12647173408331305</v>
      </c>
      <c r="S447" s="307">
        <f t="shared" ca="1" si="195"/>
        <v>10.653296148743141</v>
      </c>
      <c r="T447" s="304">
        <f t="shared" ca="1" si="175"/>
        <v>104.50883521917022</v>
      </c>
      <c r="U447" s="311">
        <f t="shared" ca="1" si="176"/>
        <v>0</v>
      </c>
      <c r="V447" s="306">
        <f t="shared" ca="1" si="177"/>
        <v>1.1518603596026922</v>
      </c>
      <c r="W447" s="304">
        <f t="shared" ca="1" si="178"/>
        <v>252.51919987460226</v>
      </c>
      <c r="Y447" s="314" t="str">
        <f t="shared" ca="1" si="196"/>
        <v/>
      </c>
      <c r="Z447" s="315" t="str">
        <f t="shared" ca="1" si="197"/>
        <v/>
      </c>
      <c r="AA447" s="316" t="str">
        <f t="shared" ca="1" si="198"/>
        <v/>
      </c>
      <c r="AC447" s="310" t="e">
        <f t="shared" ca="1" si="199"/>
        <v>#N/A</v>
      </c>
      <c r="AD447" s="323" t="e">
        <f t="shared" ca="1" si="200"/>
        <v>#N/A</v>
      </c>
      <c r="AE447" s="324">
        <f t="shared" ca="1" si="179"/>
        <v>615.43068865462124</v>
      </c>
      <c r="AG447" s="306">
        <f t="shared" ca="1" si="201"/>
        <v>-9.7638704248876564</v>
      </c>
      <c r="AH447" s="304">
        <f t="shared" ca="1" si="202"/>
        <v>-2.993357690141869E-2</v>
      </c>
    </row>
    <row r="448" spans="1:34" x14ac:dyDescent="0.25">
      <c r="A448" s="347">
        <f t="shared" ca="1" si="180"/>
        <v>0.01</v>
      </c>
      <c r="B448" s="304">
        <f t="shared" ca="1" si="181"/>
        <v>4.4399999999999498</v>
      </c>
      <c r="D448" s="306">
        <f t="shared" ca="1" si="182"/>
        <v>-0.13849319740948488</v>
      </c>
      <c r="E448" s="307">
        <f t="shared" ca="1" si="183"/>
        <v>-10.915189801266497</v>
      </c>
      <c r="F448" s="304">
        <f t="shared" ca="1" si="184"/>
        <v>10.916068374804221</v>
      </c>
      <c r="G448" s="306">
        <f t="shared" ca="1" si="185"/>
        <v>28.555540342557777</v>
      </c>
      <c r="H448" s="307">
        <f t="shared" ca="1" si="186"/>
        <v>227.77801627549485</v>
      </c>
      <c r="I448" s="304">
        <f t="shared" ca="1" si="187"/>
        <v>229.56098009604125</v>
      </c>
      <c r="J448" s="306">
        <f t="shared" ca="1" si="188"/>
        <v>71.305211577847288</v>
      </c>
      <c r="K448" s="307">
        <f t="shared" ca="1" si="189"/>
        <v>617.70901457686625</v>
      </c>
      <c r="L448" s="304">
        <f t="shared" ca="1" si="174"/>
        <v>621.81095188785855</v>
      </c>
      <c r="M448" s="306">
        <f t="shared" ca="1" si="190"/>
        <v>1.446081318332495</v>
      </c>
      <c r="N448" s="304">
        <f t="shared" ca="1" si="191"/>
        <v>82.854356373166041</v>
      </c>
      <c r="P448" s="310">
        <f t="shared" ca="1" si="192"/>
        <v>18</v>
      </c>
      <c r="Q448" s="304">
        <f t="shared" ca="1" si="193"/>
        <v>240.65454545460472</v>
      </c>
      <c r="R448" s="306">
        <f t="shared" ca="1" si="194"/>
        <v>0.12055162554563965</v>
      </c>
      <c r="S448" s="307">
        <f t="shared" ca="1" si="195"/>
        <v>10.652090632487685</v>
      </c>
      <c r="T448" s="304">
        <f t="shared" ca="1" si="175"/>
        <v>104.49700910470419</v>
      </c>
      <c r="U448" s="311">
        <f t="shared" ca="1" si="176"/>
        <v>0</v>
      </c>
      <c r="V448" s="306">
        <f t="shared" ca="1" si="177"/>
        <v>1.1515977085696889</v>
      </c>
      <c r="W448" s="304">
        <f t="shared" ca="1" si="178"/>
        <v>252.22319222345331</v>
      </c>
      <c r="Y448" s="314" t="str">
        <f t="shared" ca="1" si="196"/>
        <v/>
      </c>
      <c r="Z448" s="315" t="str">
        <f t="shared" ca="1" si="197"/>
        <v/>
      </c>
      <c r="AA448" s="316" t="str">
        <f t="shared" ca="1" si="198"/>
        <v/>
      </c>
      <c r="AC448" s="310" t="e">
        <f t="shared" ca="1" si="199"/>
        <v>#N/A</v>
      </c>
      <c r="AD448" s="323" t="e">
        <f t="shared" ca="1" si="200"/>
        <v>#N/A</v>
      </c>
      <c r="AE448" s="324">
        <f t="shared" ca="1" si="179"/>
        <v>617.70901457686625</v>
      </c>
      <c r="AG448" s="306">
        <f t="shared" ca="1" si="201"/>
        <v>-10.847705516417486</v>
      </c>
      <c r="AH448" s="304">
        <f t="shared" ca="1" si="202"/>
        <v>-1.1138334087969248</v>
      </c>
    </row>
    <row r="449" spans="1:34" x14ac:dyDescent="0.25">
      <c r="A449" s="347">
        <f t="shared" ca="1" si="180"/>
        <v>0.01</v>
      </c>
      <c r="B449" s="304">
        <f t="shared" ca="1" si="181"/>
        <v>4.4499999999999496</v>
      </c>
      <c r="D449" s="306">
        <f t="shared" ca="1" si="182"/>
        <v>-0.27313385259657269</v>
      </c>
      <c r="E449" s="307">
        <f t="shared" ca="1" si="183"/>
        <v>-11.988697596886663</v>
      </c>
      <c r="F449" s="304">
        <f t="shared" ca="1" si="184"/>
        <v>11.991808544628716</v>
      </c>
      <c r="G449" s="306">
        <f t="shared" ca="1" si="185"/>
        <v>28.552809004031811</v>
      </c>
      <c r="H449" s="307">
        <f t="shared" ca="1" si="186"/>
        <v>227.658129299526</v>
      </c>
      <c r="I449" s="304">
        <f t="shared" ca="1" si="187"/>
        <v>229.44168483120154</v>
      </c>
      <c r="J449" s="306">
        <f t="shared" ca="1" si="188"/>
        <v>71.590753324580234</v>
      </c>
      <c r="K449" s="307">
        <f t="shared" ca="1" si="189"/>
        <v>619.98619530474139</v>
      </c>
      <c r="L449" s="304">
        <f t="shared" ca="1" si="174"/>
        <v>624.10585506789619</v>
      </c>
      <c r="M449" s="306">
        <f t="shared" ca="1" si="190"/>
        <v>1.4460281333529272</v>
      </c>
      <c r="N449" s="304">
        <f t="shared" ca="1" si="191"/>
        <v>82.851309098303318</v>
      </c>
      <c r="P449" s="310">
        <f t="shared" ca="1" si="192"/>
        <v>18</v>
      </c>
      <c r="Q449" s="304">
        <f t="shared" ca="1" si="193"/>
        <v>228.83636363642307</v>
      </c>
      <c r="R449" s="306">
        <f t="shared" ca="1" si="194"/>
        <v>0.11463151700796624</v>
      </c>
      <c r="S449" s="307">
        <f t="shared" ca="1" si="195"/>
        <v>10.650944317317606</v>
      </c>
      <c r="T449" s="304">
        <f t="shared" ca="1" si="175"/>
        <v>104.48576375288572</v>
      </c>
      <c r="U449" s="311">
        <f t="shared" ca="1" si="176"/>
        <v>0</v>
      </c>
      <c r="V449" s="306">
        <f t="shared" ca="1" si="177"/>
        <v>1.1513352475549918</v>
      </c>
      <c r="W449" s="304">
        <f t="shared" ca="1" si="178"/>
        <v>251.90369165888157</v>
      </c>
      <c r="Y449" s="314" t="str">
        <f t="shared" ca="1" si="196"/>
        <v/>
      </c>
      <c r="Z449" s="315" t="str">
        <f t="shared" ca="1" si="197"/>
        <v/>
      </c>
      <c r="AA449" s="316" t="str">
        <f t="shared" ca="1" si="198"/>
        <v/>
      </c>
      <c r="AC449" s="310" t="e">
        <f t="shared" ca="1" si="199"/>
        <v>#N/A</v>
      </c>
      <c r="AD449" s="323" t="e">
        <f t="shared" ca="1" si="200"/>
        <v>#N/A</v>
      </c>
      <c r="AE449" s="324">
        <f t="shared" ca="1" si="179"/>
        <v>619.98619530474139</v>
      </c>
      <c r="AG449" s="306">
        <f t="shared" ca="1" si="201"/>
        <v>-11.929558934391402</v>
      </c>
      <c r="AH449" s="304">
        <f t="shared" ca="1" si="202"/>
        <v>-2.1957516526497161</v>
      </c>
    </row>
    <row r="450" spans="1:34" x14ac:dyDescent="0.25">
      <c r="A450" s="347">
        <f t="shared" ca="1" si="180"/>
        <v>0.01</v>
      </c>
      <c r="B450" s="304">
        <f t="shared" ca="1" si="181"/>
        <v>4.4599999999999493</v>
      </c>
      <c r="D450" s="306">
        <f t="shared" ca="1" si="182"/>
        <v>-0.40764095178421306</v>
      </c>
      <c r="E450" s="307">
        <f t="shared" ca="1" si="183"/>
        <v>-13.060215293912693</v>
      </c>
      <c r="F450" s="304">
        <f t="shared" ca="1" si="184"/>
        <v>13.066575475958594</v>
      </c>
      <c r="G450" s="306">
        <f t="shared" ca="1" si="185"/>
        <v>28.548732594513968</v>
      </c>
      <c r="H450" s="307">
        <f t="shared" ca="1" si="186"/>
        <v>227.52752714658686</v>
      </c>
      <c r="I450" s="304">
        <f t="shared" ca="1" si="187"/>
        <v>229.31159094601801</v>
      </c>
      <c r="J450" s="306">
        <f t="shared" ca="1" si="188"/>
        <v>71.87626103257297</v>
      </c>
      <c r="K450" s="307">
        <f t="shared" ca="1" si="189"/>
        <v>622.26212358697194</v>
      </c>
      <c r="L450" s="304">
        <f t="shared" ca="1" si="174"/>
        <v>626.39951097601488</v>
      </c>
      <c r="M450" s="306">
        <f t="shared" ca="1" si="190"/>
        <v>1.4459748956244045</v>
      </c>
      <c r="N450" s="304">
        <f t="shared" ca="1" si="191"/>
        <v>82.848258801148106</v>
      </c>
      <c r="P450" s="310">
        <f t="shared" ca="1" si="192"/>
        <v>18</v>
      </c>
      <c r="Q450" s="304">
        <f t="shared" ca="1" si="193"/>
        <v>217.01818181824146</v>
      </c>
      <c r="R450" s="306">
        <f t="shared" ca="1" si="194"/>
        <v>0.10871140847029283</v>
      </c>
      <c r="S450" s="307">
        <f t="shared" ca="1" si="195"/>
        <v>10.649857203232903</v>
      </c>
      <c r="T450" s="304">
        <f t="shared" ca="1" si="175"/>
        <v>104.47509916371479</v>
      </c>
      <c r="U450" s="311">
        <f t="shared" ca="1" si="176"/>
        <v>0</v>
      </c>
      <c r="V450" s="306">
        <f t="shared" ca="1" si="177"/>
        <v>1.1510729888092941</v>
      </c>
      <c r="W450" s="304">
        <f t="shared" ca="1" si="178"/>
        <v>251.56079763416577</v>
      </c>
      <c r="Y450" s="314" t="str">
        <f t="shared" ca="1" si="196"/>
        <v/>
      </c>
      <c r="Z450" s="315" t="str">
        <f t="shared" ca="1" si="197"/>
        <v/>
      </c>
      <c r="AA450" s="316" t="str">
        <f t="shared" ca="1" si="198"/>
        <v/>
      </c>
      <c r="AC450" s="310" t="e">
        <f t="shared" ca="1" si="199"/>
        <v>#N/A</v>
      </c>
      <c r="AD450" s="323" t="e">
        <f t="shared" ca="1" si="200"/>
        <v>#N/A</v>
      </c>
      <c r="AE450" s="324">
        <f t="shared" ca="1" si="179"/>
        <v>622.26212358697194</v>
      </c>
      <c r="AG450" s="306">
        <f t="shared" ca="1" si="201"/>
        <v>-13.009421014737184</v>
      </c>
      <c r="AH450" s="304">
        <f t="shared" ca="1" si="202"/>
        <v>-3.2756786476019752</v>
      </c>
    </row>
    <row r="451" spans="1:34" x14ac:dyDescent="0.25">
      <c r="A451" s="347">
        <f t="shared" ca="1" si="180"/>
        <v>0.01</v>
      </c>
      <c r="B451" s="304">
        <f t="shared" ca="1" si="181"/>
        <v>4.4699999999999491</v>
      </c>
      <c r="D451" s="306">
        <f t="shared" ca="1" si="182"/>
        <v>-0.54201319545185567</v>
      </c>
      <c r="E451" s="307">
        <f t="shared" ca="1" si="183"/>
        <v>-14.129733691634305</v>
      </c>
      <c r="F451" s="304">
        <f t="shared" ca="1" si="184"/>
        <v>14.140125618273323</v>
      </c>
      <c r="G451" s="306">
        <f t="shared" ca="1" si="185"/>
        <v>28.543312462559449</v>
      </c>
      <c r="H451" s="307">
        <f t="shared" ca="1" si="186"/>
        <v>227.38622980967051</v>
      </c>
      <c r="I451" s="304">
        <f t="shared" ca="1" si="187"/>
        <v>229.17071844673259</v>
      </c>
      <c r="J451" s="306">
        <f t="shared" ca="1" si="188"/>
        <v>72.161721257858332</v>
      </c>
      <c r="K451" s="307">
        <f t="shared" ca="1" si="189"/>
        <v>624.53669237175325</v>
      </c>
      <c r="L451" s="304">
        <f t="shared" ca="1" si="174"/>
        <v>628.69181172777076</v>
      </c>
      <c r="M451" s="306">
        <f t="shared" ca="1" si="190"/>
        <v>1.4459216025583674</v>
      </c>
      <c r="N451" s="304">
        <f t="shared" ca="1" si="191"/>
        <v>82.845205333386872</v>
      </c>
      <c r="P451" s="310">
        <f t="shared" ca="1" si="192"/>
        <v>18</v>
      </c>
      <c r="Q451" s="304">
        <f t="shared" ca="1" si="193"/>
        <v>205.20000000005982</v>
      </c>
      <c r="R451" s="306">
        <f t="shared" ca="1" si="194"/>
        <v>0.10279129993261941</v>
      </c>
      <c r="S451" s="307">
        <f t="shared" ca="1" si="195"/>
        <v>10.648829290233577</v>
      </c>
      <c r="T451" s="304">
        <f t="shared" ca="1" si="175"/>
        <v>104.46501533719139</v>
      </c>
      <c r="U451" s="311">
        <f t="shared" ca="1" si="176"/>
        <v>0</v>
      </c>
      <c r="V451" s="306">
        <f t="shared" ca="1" si="177"/>
        <v>1.1508109445495218</v>
      </c>
      <c r="W451" s="304">
        <f t="shared" ca="1" si="178"/>
        <v>251.19461294007101</v>
      </c>
      <c r="Y451" s="314" t="str">
        <f t="shared" ca="1" si="196"/>
        <v/>
      </c>
      <c r="Z451" s="315" t="str">
        <f t="shared" ca="1" si="197"/>
        <v/>
      </c>
      <c r="AA451" s="316" t="str">
        <f t="shared" ca="1" si="198"/>
        <v/>
      </c>
      <c r="AC451" s="310" t="e">
        <f t="shared" ca="1" si="199"/>
        <v>#N/A</v>
      </c>
      <c r="AD451" s="323" t="e">
        <f t="shared" ca="1" si="200"/>
        <v>#N/A</v>
      </c>
      <c r="AE451" s="324">
        <f t="shared" ca="1" si="179"/>
        <v>624.53669237175325</v>
      </c>
      <c r="AG451" s="306">
        <f t="shared" ca="1" si="201"/>
        <v>-14.08728247250912</v>
      </c>
      <c r="AH451" s="304">
        <f t="shared" ca="1" si="202"/>
        <v>-4.353605111937056</v>
      </c>
    </row>
    <row r="452" spans="1:34" x14ac:dyDescent="0.25">
      <c r="A452" s="347">
        <f t="shared" ca="1" si="180"/>
        <v>0.01</v>
      </c>
      <c r="B452" s="304">
        <f t="shared" ca="1" si="181"/>
        <v>4.4799999999999489</v>
      </c>
      <c r="D452" s="306">
        <f t="shared" ca="1" si="182"/>
        <v>-0.67624933947521582</v>
      </c>
      <c r="E452" s="307">
        <f t="shared" ca="1" si="183"/>
        <v>-15.197243961829965</v>
      </c>
      <c r="F452" s="304">
        <f t="shared" ca="1" si="184"/>
        <v>15.212282445593692</v>
      </c>
      <c r="G452" s="306">
        <f t="shared" ca="1" si="185"/>
        <v>28.536549969164696</v>
      </c>
      <c r="H452" s="307">
        <f t="shared" ca="1" si="186"/>
        <v>227.23425737005221</v>
      </c>
      <c r="I452" s="304">
        <f t="shared" ca="1" si="187"/>
        <v>229.01908742867212</v>
      </c>
      <c r="J452" s="306">
        <f t="shared" ca="1" si="188"/>
        <v>72.447120570016949</v>
      </c>
      <c r="K452" s="307">
        <f t="shared" ca="1" si="189"/>
        <v>626.80979480765188</v>
      </c>
      <c r="L452" s="304">
        <f t="shared" ref="L452:L515" ca="1" si="203">SQRT(pos_x^2+pos_z^2)</f>
        <v>630.98264963919348</v>
      </c>
      <c r="M452" s="306">
        <f t="shared" ca="1" si="190"/>
        <v>1.4458682515572481</v>
      </c>
      <c r="N452" s="304">
        <f t="shared" ca="1" si="191"/>
        <v>82.842148546189932</v>
      </c>
      <c r="P452" s="310">
        <f t="shared" ca="1" si="192"/>
        <v>18</v>
      </c>
      <c r="Q452" s="304">
        <f t="shared" ca="1" si="193"/>
        <v>193.3818181818782</v>
      </c>
      <c r="R452" s="306">
        <f t="shared" ca="1" si="194"/>
        <v>9.6871191394946016E-2</v>
      </c>
      <c r="S452" s="307">
        <f t="shared" ca="1" si="195"/>
        <v>10.647860578319627</v>
      </c>
      <c r="T452" s="304">
        <f t="shared" ref="T452:T515" ca="1" si="204">m*g</f>
        <v>104.45551227331553</v>
      </c>
      <c r="U452" s="311">
        <f t="shared" ref="U452:U515" ca="1" si="205">IF(pos_xz&lt;L_rampe,Poids*COS(Beta),0)</f>
        <v>0</v>
      </c>
      <c r="V452" s="306">
        <f t="shared" ref="V452:V515" ca="1" si="206">Rho_moyen*(20000-Alt_rampe-pos_z)/(20000+Alt_rampe+pos_z)</f>
        <v>1.150549126958774</v>
      </c>
      <c r="W452" s="304">
        <f t="shared" ref="W452:W515" ca="1" si="207">1/2*Rho*Sref*Cx*vit_xz^2</f>
        <v>250.80524366913249</v>
      </c>
      <c r="Y452" s="314" t="str">
        <f t="shared" ca="1" si="196"/>
        <v/>
      </c>
      <c r="Z452" s="315" t="str">
        <f t="shared" ca="1" si="197"/>
        <v/>
      </c>
      <c r="AA452" s="316" t="str">
        <f t="shared" ca="1" si="198"/>
        <v/>
      </c>
      <c r="AC452" s="310" t="e">
        <f t="shared" ca="1" si="199"/>
        <v>#N/A</v>
      </c>
      <c r="AD452" s="323" t="e">
        <f t="shared" ca="1" si="200"/>
        <v>#N/A</v>
      </c>
      <c r="AE452" s="324">
        <f t="shared" ref="AE452:AE515" ca="1" si="208">IF(t&lt;T_para, pos_z, NA())</f>
        <v>626.80979480765188</v>
      </c>
      <c r="AG452" s="306">
        <f t="shared" ca="1" si="201"/>
        <v>-15.163134399237121</v>
      </c>
      <c r="AH452" s="304">
        <f t="shared" ca="1" si="202"/>
        <v>-5.4295221404294942</v>
      </c>
    </row>
    <row r="453" spans="1:34" x14ac:dyDescent="0.25">
      <c r="A453" s="347">
        <f t="shared" ref="A453:A516" ca="1" si="209">IF(B452+0.01&lt;=T_ini+ROUNDUP(Temps_fin_propu,0), 0.01, IF(K452&gt;0, 0.1, 0.0001))</f>
        <v>0.01</v>
      </c>
      <c r="B453" s="304">
        <f t="shared" ref="B453:B516" ca="1" si="210">B452+pas</f>
        <v>4.4899999999999487</v>
      </c>
      <c r="D453" s="306">
        <f t="shared" ref="D453:D516" ca="1" si="211">IF(AND(L452&lt;L_rampe,Poussee&lt;Poids*SIN(M452)),0,(-W452+Poussee)/m*COS(M452)-U452/m*SIN(M452))</f>
        <v>-0.81034819488443499</v>
      </c>
      <c r="E453" s="307">
        <f t="shared" ref="E453:E516" ca="1" si="212">IF(AND(L452&lt;L_rampe,Poussee&lt;Poids*SIN(M452)),0,(-W452+Poussee)/m*SIN(M452)+U452/m*COS(M452)-Poids/m)</f>
        <v>-16.262737646095935</v>
      </c>
      <c r="F453" s="304">
        <f t="shared" ref="F453:F516" ca="1" si="213">SQRT(acc_x^2+acc_z^2)</f>
        <v>16.282914356548659</v>
      </c>
      <c r="G453" s="306">
        <f t="shared" ref="G453:G516" ca="1" si="214">G452+acc_x*pas</f>
        <v>28.528446487215852</v>
      </c>
      <c r="H453" s="307">
        <f t="shared" ref="H453:H516" ca="1" si="215">H452+acc_z*pas</f>
        <v>227.07162999359124</v>
      </c>
      <c r="I453" s="304">
        <f t="shared" ref="I453:I516" ca="1" si="216">SQRT(vit_x^2+vit_z^2)</f>
        <v>228.85671807251003</v>
      </c>
      <c r="J453" s="306">
        <f t="shared" ref="J453:J516" ca="1" si="217">J452+0.5*(vit_x+G452)*pas*(K452&gt;=0)</f>
        <v>72.732445552298856</v>
      </c>
      <c r="K453" s="307">
        <f t="shared" ref="K453:K516" ca="1" si="218">K452+0.5*(vit_z+H452)*pas</f>
        <v>629.08132424447012</v>
      </c>
      <c r="L453" s="304">
        <f t="shared" ca="1" si="203"/>
        <v>633.27191722765849</v>
      </c>
      <c r="M453" s="306">
        <f t="shared" ref="M453:M516" ca="1" si="219">IF(AND(L452&gt;L_rampe,G453&gt;0),ATAN2(G453,H453),$M$4)</f>
        <v>1.4458148400137512</v>
      </c>
      <c r="N453" s="304">
        <f t="shared" ref="N453:N516" ca="1" si="220">DEGREES(Beta)</f>
        <v>82.839088290170281</v>
      </c>
      <c r="P453" s="310">
        <f t="shared" ref="P453:P516" ca="1" si="221">MATCH(t-pas/2-T_ini,CdP_t)</f>
        <v>18</v>
      </c>
      <c r="Q453" s="304">
        <f t="shared" ref="Q453:Q516" ca="1" si="222">(INDEX(CdP,2,i_P+1)-INDEX(CdP,2,i_P+0))/(INDEX(CdP,1,i_P+1)-INDEX(CdP,1,i_P+0))*(t-pas/2-T_ini-INDEX(CdP,1,i_P+0))+INDEX(CdP,2,i_P+0)</f>
        <v>181.56363636369656</v>
      </c>
      <c r="R453" s="306">
        <f t="shared" ref="R453:R516" ca="1" si="223">Poussee/(g*ISP)</f>
        <v>9.0951082857272603E-2</v>
      </c>
      <c r="S453" s="307">
        <f t="shared" ref="S453:S516" ca="1" si="224">S452-Débit*pas</f>
        <v>10.646951067491054</v>
      </c>
      <c r="T453" s="304">
        <f t="shared" ca="1" si="204"/>
        <v>104.44658997208725</v>
      </c>
      <c r="U453" s="311">
        <f t="shared" ca="1" si="205"/>
        <v>0</v>
      </c>
      <c r="V453" s="306">
        <f t="shared" ca="1" si="206"/>
        <v>1.1502875481862787</v>
      </c>
      <c r="W453" s="304">
        <f t="shared" ca="1" si="207"/>
        <v>250.39279918000878</v>
      </c>
      <c r="Y453" s="314" t="str">
        <f t="shared" ref="Y453:Y516" ca="1" si="225">IF(AND(pos_z&lt;=0,K452&gt;0),"Impact balistique","") &amp; IF(AND(H454&lt;0,vit_z&gt;=0),"Apogée","") &amp; IF(AND(Poussee=0,Q452&gt;0),"Fin de propulsion","") &amp; IF(AND(L454&gt;L_rampe,pos_xz&lt;=L_rampe),"Sortie de rampe","")</f>
        <v/>
      </c>
      <c r="Z453" s="315" t="str">
        <f t="shared" ref="Z453:Z516" ca="1" si="226">IF(ABS(t-T_para)&lt;pas/2,"Para","")</f>
        <v/>
      </c>
      <c r="AA453" s="316" t="str">
        <f t="shared" ref="AA453:AA516" ca="1" si="227">IF(ABS(t-T_satellite)&lt;pas/2,"Satellite","")</f>
        <v/>
      </c>
      <c r="AC453" s="310" t="e">
        <f t="shared" ref="AC453:AC516" ca="1" si="228">IF(ABS(t-ROUND(t,0))&lt;0.001,t,NA())</f>
        <v>#N/A</v>
      </c>
      <c r="AD453" s="323" t="e">
        <f t="shared" ref="AD453:AD516" ca="1" si="229">IF(ABS(t-ROUND(t,0))&lt;0.001,pos_x,NA())</f>
        <v>#N/A</v>
      </c>
      <c r="AE453" s="324">
        <f t="shared" ca="1" si="208"/>
        <v>629.08132424447012</v>
      </c>
      <c r="AG453" s="306">
        <f t="shared" ref="AG453:AG516" ca="1" si="230">IF(AND(L452&lt;L_rampe,Poussee&lt;Poids*SIN(M452)),0,(-W452+Poussee)/m-Poids*SIN(M452)/m)</f>
        <v>-16.23696826024814</v>
      </c>
      <c r="AH453" s="304">
        <f t="shared" ref="AH453:AH516" ca="1" si="231">IF(AND(L452&lt;L_rampe,Poussee&lt;Poids*SIN(M452)), g*SIN(M452), (-W452+Poussee)/m)</f>
        <v>-6.5034212016673303</v>
      </c>
    </row>
    <row r="454" spans="1:34" x14ac:dyDescent="0.25">
      <c r="A454" s="347">
        <f t="shared" ca="1" si="209"/>
        <v>0.01</v>
      </c>
      <c r="B454" s="304">
        <f t="shared" ca="1" si="210"/>
        <v>4.4999999999999485</v>
      </c>
      <c r="D454" s="306">
        <f t="shared" ca="1" si="211"/>
        <v>-0.94430862762232926</v>
      </c>
      <c r="E454" s="307">
        <f t="shared" ca="1" si="212"/>
        <v>-17.326206653148883</v>
      </c>
      <c r="F454" s="304">
        <f t="shared" ca="1" si="213"/>
        <v>17.351920809288593</v>
      </c>
      <c r="G454" s="306">
        <f t="shared" ca="1" si="214"/>
        <v>28.519003400939628</v>
      </c>
      <c r="H454" s="307">
        <f t="shared" ca="1" si="215"/>
        <v>226.89836792705975</v>
      </c>
      <c r="I454" s="304">
        <f t="shared" ca="1" si="216"/>
        <v>228.68363064055586</v>
      </c>
      <c r="J454" s="306">
        <f t="shared" ca="1" si="217"/>
        <v>73.017682801739639</v>
      </c>
      <c r="K454" s="307">
        <f t="shared" ca="1" si="218"/>
        <v>631.35117423407337</v>
      </c>
      <c r="L454" s="304">
        <f t="shared" ca="1" si="203"/>
        <v>635.55950721272256</v>
      </c>
      <c r="M454" s="306">
        <f t="shared" ca="1" si="219"/>
        <v>1.4457613653101267</v>
      </c>
      <c r="N454" s="304">
        <f t="shared" ca="1" si="220"/>
        <v>82.836024415341882</v>
      </c>
      <c r="P454" s="310">
        <f t="shared" ca="1" si="221"/>
        <v>18</v>
      </c>
      <c r="Q454" s="304">
        <f t="shared" ca="1" si="222"/>
        <v>169.74545454551495</v>
      </c>
      <c r="R454" s="306">
        <f t="shared" ca="1" si="223"/>
        <v>8.5030974319599203E-2</v>
      </c>
      <c r="S454" s="307">
        <f t="shared" ca="1" si="224"/>
        <v>10.646100757747858</v>
      </c>
      <c r="T454" s="304">
        <f t="shared" ca="1" si="204"/>
        <v>104.43824843350649</v>
      </c>
      <c r="U454" s="311">
        <f t="shared" ca="1" si="205"/>
        <v>0</v>
      </c>
      <c r="V454" s="306">
        <f t="shared" ca="1" si="206"/>
        <v>1.1500262203473492</v>
      </c>
      <c r="W454" s="304">
        <f t="shared" ca="1" si="207"/>
        <v>249.95739206191396</v>
      </c>
      <c r="Y454" s="314" t="str">
        <f t="shared" ca="1" si="225"/>
        <v/>
      </c>
      <c r="Z454" s="315" t="str">
        <f t="shared" ca="1" si="226"/>
        <v/>
      </c>
      <c r="AA454" s="316" t="str">
        <f t="shared" ca="1" si="227"/>
        <v/>
      </c>
      <c r="AC454" s="310" t="e">
        <f t="shared" ca="1" si="228"/>
        <v>#N/A</v>
      </c>
      <c r="AD454" s="323" t="e">
        <f t="shared" ca="1" si="229"/>
        <v>#N/A</v>
      </c>
      <c r="AE454" s="324">
        <f t="shared" ca="1" si="208"/>
        <v>631.35117423407337</v>
      </c>
      <c r="AG454" s="306">
        <f t="shared" ca="1" si="230"/>
        <v>-17.308775891961371</v>
      </c>
      <c r="AH454" s="304">
        <f t="shared" ca="1" si="231"/>
        <v>-7.5752941353482433</v>
      </c>
    </row>
    <row r="455" spans="1:34" x14ac:dyDescent="0.25">
      <c r="A455" s="347">
        <f t="shared" ca="1" si="209"/>
        <v>0.01</v>
      </c>
      <c r="B455" s="304">
        <f t="shared" ca="1" si="210"/>
        <v>4.5099999999999483</v>
      </c>
      <c r="D455" s="306">
        <f t="shared" ca="1" si="211"/>
        <v>-1.0781295583029333</v>
      </c>
      <c r="E455" s="307">
        <f t="shared" ca="1" si="212"/>
        <v>-18.38764325610331</v>
      </c>
      <c r="F455" s="304">
        <f t="shared" ca="1" si="213"/>
        <v>18.419223323968033</v>
      </c>
      <c r="G455" s="306">
        <f t="shared" ca="1" si="214"/>
        <v>28.508222105356598</v>
      </c>
      <c r="H455" s="307">
        <f t="shared" ca="1" si="215"/>
        <v>226.71449149449873</v>
      </c>
      <c r="I455" s="304">
        <f t="shared" ca="1" si="216"/>
        <v>228.49984547307133</v>
      </c>
      <c r="J455" s="306">
        <f t="shared" ca="1" si="217"/>
        <v>73.302818929271126</v>
      </c>
      <c r="K455" s="307">
        <f t="shared" ca="1" si="218"/>
        <v>633.61923853118117</v>
      </c>
      <c r="L455" s="304">
        <f t="shared" ca="1" si="203"/>
        <v>637.84531251692317</v>
      </c>
      <c r="M455" s="306">
        <f t="shared" ca="1" si="219"/>
        <v>1.4457078248174409</v>
      </c>
      <c r="N455" s="304">
        <f t="shared" ca="1" si="220"/>
        <v>82.832956771077932</v>
      </c>
      <c r="P455" s="310">
        <f t="shared" ca="1" si="221"/>
        <v>18</v>
      </c>
      <c r="Q455" s="304">
        <f t="shared" ca="1" si="222"/>
        <v>157.92727272733333</v>
      </c>
      <c r="R455" s="306">
        <f t="shared" ca="1" si="223"/>
        <v>7.9110865781925804E-2</v>
      </c>
      <c r="S455" s="307">
        <f t="shared" ca="1" si="224"/>
        <v>10.645309649090038</v>
      </c>
      <c r="T455" s="304">
        <f t="shared" ca="1" si="204"/>
        <v>104.43048765757328</v>
      </c>
      <c r="U455" s="311">
        <f t="shared" ca="1" si="205"/>
        <v>0</v>
      </c>
      <c r="V455" s="306">
        <f t="shared" ca="1" si="206"/>
        <v>1.1497651555233459</v>
      </c>
      <c r="W455" s="304">
        <f t="shared" ca="1" si="207"/>
        <v>249.49913809913627</v>
      </c>
      <c r="Y455" s="314" t="str">
        <f t="shared" ca="1" si="225"/>
        <v/>
      </c>
      <c r="Z455" s="315" t="str">
        <f t="shared" ca="1" si="226"/>
        <v/>
      </c>
      <c r="AA455" s="316" t="str">
        <f t="shared" ca="1" si="227"/>
        <v/>
      </c>
      <c r="AC455" s="310" t="e">
        <f t="shared" ca="1" si="228"/>
        <v>#N/A</v>
      </c>
      <c r="AD455" s="323" t="e">
        <f t="shared" ca="1" si="229"/>
        <v>#N/A</v>
      </c>
      <c r="AE455" s="324">
        <f t="shared" ca="1" si="208"/>
        <v>633.61923853118117</v>
      </c>
      <c r="AG455" s="306">
        <f t="shared" ca="1" si="230"/>
        <v>-18.378549499158531</v>
      </c>
      <c r="AH455" s="304">
        <f t="shared" ca="1" si="231"/>
        <v>-8.6451331495507393</v>
      </c>
    </row>
    <row r="456" spans="1:34" x14ac:dyDescent="0.25">
      <c r="A456" s="347">
        <f t="shared" ca="1" si="209"/>
        <v>0.01</v>
      </c>
      <c r="B456" s="304">
        <f t="shared" ca="1" si="210"/>
        <v>4.5199999999999481</v>
      </c>
      <c r="D456" s="306">
        <f t="shared" ca="1" si="211"/>
        <v>-1.2118099619704454</v>
      </c>
      <c r="E456" s="307">
        <f t="shared" ca="1" si="212"/>
        <v>-19.447040089724702</v>
      </c>
      <c r="F456" s="304">
        <f t="shared" ca="1" si="213"/>
        <v>19.484759470809244</v>
      </c>
      <c r="G456" s="306">
        <f t="shared" ca="1" si="214"/>
        <v>28.496104005736893</v>
      </c>
      <c r="H456" s="307">
        <f t="shared" ca="1" si="215"/>
        <v>226.52002109360149</v>
      </c>
      <c r="I456" s="304">
        <f t="shared" ca="1" si="216"/>
        <v>228.30538298461437</v>
      </c>
      <c r="J456" s="306">
        <f t="shared" ca="1" si="217"/>
        <v>73.587840559826589</v>
      </c>
      <c r="K456" s="307">
        <f t="shared" ca="1" si="218"/>
        <v>635.88541109412165</v>
      </c>
      <c r="L456" s="304">
        <f t="shared" ca="1" si="203"/>
        <v>640.12922626653949</v>
      </c>
      <c r="M456" s="306">
        <f t="shared" ca="1" si="219"/>
        <v>1.4456542158948353</v>
      </c>
      <c r="N456" s="304">
        <f t="shared" ca="1" si="220"/>
        <v>82.829885206068397</v>
      </c>
      <c r="P456" s="310">
        <f t="shared" ca="1" si="221"/>
        <v>18</v>
      </c>
      <c r="Q456" s="304">
        <f t="shared" ca="1" si="222"/>
        <v>146.10909090915169</v>
      </c>
      <c r="R456" s="306">
        <f t="shared" ca="1" si="223"/>
        <v>7.3190757244252391E-2</v>
      </c>
      <c r="S456" s="307">
        <f t="shared" ca="1" si="224"/>
        <v>10.644577741517596</v>
      </c>
      <c r="T456" s="304">
        <f t="shared" ca="1" si="204"/>
        <v>104.42330764428762</v>
      </c>
      <c r="U456" s="311">
        <f t="shared" ca="1" si="205"/>
        <v>0</v>
      </c>
      <c r="V456" s="306">
        <f t="shared" ca="1" si="206"/>
        <v>1.1495043657616437</v>
      </c>
      <c r="W456" s="304">
        <f t="shared" ca="1" si="207"/>
        <v>249.01815623565625</v>
      </c>
      <c r="Y456" s="314" t="str">
        <f t="shared" ca="1" si="225"/>
        <v/>
      </c>
      <c r="Z456" s="315" t="str">
        <f t="shared" ca="1" si="226"/>
        <v/>
      </c>
      <c r="AA456" s="316" t="str">
        <f t="shared" ca="1" si="227"/>
        <v/>
      </c>
      <c r="AC456" s="310" t="e">
        <f t="shared" ca="1" si="228"/>
        <v>#N/A</v>
      </c>
      <c r="AD456" s="323" t="e">
        <f t="shared" ca="1" si="229"/>
        <v>#N/A</v>
      </c>
      <c r="AE456" s="324">
        <f t="shared" ca="1" si="208"/>
        <v>635.88541109412165</v>
      </c>
      <c r="AG456" s="306">
        <f t="shared" ca="1" si="230"/>
        <v>-19.446281652230116</v>
      </c>
      <c r="AH456" s="304">
        <f t="shared" ca="1" si="231"/>
        <v>-9.712930817981352</v>
      </c>
    </row>
    <row r="457" spans="1:34" x14ac:dyDescent="0.25">
      <c r="A457" s="347">
        <f t="shared" ca="1" si="209"/>
        <v>0.01</v>
      </c>
      <c r="B457" s="304">
        <f t="shared" ca="1" si="210"/>
        <v>4.5299999999999478</v>
      </c>
      <c r="D457" s="306">
        <f t="shared" ca="1" si="211"/>
        <v>-1.3224500976850198</v>
      </c>
      <c r="E457" s="307">
        <f t="shared" ca="1" si="212"/>
        <v>-20.32236421521123</v>
      </c>
      <c r="F457" s="304">
        <f t="shared" ca="1" si="213"/>
        <v>20.365347076751849</v>
      </c>
      <c r="G457" s="306">
        <f t="shared" ca="1" si="214"/>
        <v>28.482879504760042</v>
      </c>
      <c r="H457" s="307">
        <f t="shared" ca="1" si="215"/>
        <v>226.31679745144936</v>
      </c>
      <c r="I457" s="304">
        <f t="shared" ca="1" si="216"/>
        <v>228.10209826646278</v>
      </c>
      <c r="J457" s="306">
        <f t="shared" ca="1" si="217"/>
        <v>73.872735477379067</v>
      </c>
      <c r="K457" s="307">
        <f t="shared" ca="1" si="218"/>
        <v>638.14959518684691</v>
      </c>
      <c r="L457" s="304">
        <f t="shared" ca="1" si="203"/>
        <v>642.41115096489989</v>
      </c>
      <c r="M457" s="306">
        <f t="shared" ca="1" si="219"/>
        <v>1.4456005363205271</v>
      </c>
      <c r="N457" s="304">
        <f t="shared" ca="1" si="220"/>
        <v>82.826809593014474</v>
      </c>
      <c r="P457" s="310">
        <f t="shared" ca="1" si="221"/>
        <v>19</v>
      </c>
      <c r="Q457" s="304">
        <f t="shared" ca="1" si="222"/>
        <v>136.24375000004085</v>
      </c>
      <c r="R457" s="306">
        <f t="shared" ca="1" si="223"/>
        <v>6.82488897182989E-2</v>
      </c>
      <c r="S457" s="307">
        <f t="shared" ca="1" si="224"/>
        <v>10.643895252620412</v>
      </c>
      <c r="T457" s="304">
        <f t="shared" ca="1" si="204"/>
        <v>104.41661242820625</v>
      </c>
      <c r="U457" s="311">
        <f t="shared" ca="1" si="205"/>
        <v>0</v>
      </c>
      <c r="V457" s="306">
        <f t="shared" ca="1" si="206"/>
        <v>1.1492438620285805</v>
      </c>
      <c r="W457" s="304">
        <f t="shared" ca="1" si="207"/>
        <v>248.51856592536356</v>
      </c>
      <c r="Y457" s="314" t="str">
        <f t="shared" ca="1" si="225"/>
        <v/>
      </c>
      <c r="Z457" s="315" t="str">
        <f t="shared" ca="1" si="226"/>
        <v/>
      </c>
      <c r="AA457" s="316" t="str">
        <f t="shared" ca="1" si="227"/>
        <v/>
      </c>
      <c r="AC457" s="310" t="e">
        <f t="shared" ca="1" si="228"/>
        <v>#N/A</v>
      </c>
      <c r="AD457" s="323" t="e">
        <f t="shared" ca="1" si="229"/>
        <v>#N/A</v>
      </c>
      <c r="AE457" s="324">
        <f t="shared" ca="1" si="208"/>
        <v>638.14959518684691</v>
      </c>
      <c r="AG457" s="306">
        <f t="shared" ca="1" si="230"/>
        <v>-20.328504678929523</v>
      </c>
      <c r="AH457" s="304">
        <f t="shared" ca="1" si="231"/>
        <v>-10.595219471729727</v>
      </c>
    </row>
    <row r="458" spans="1:34" x14ac:dyDescent="0.25">
      <c r="A458" s="347">
        <f t="shared" ca="1" si="209"/>
        <v>0.01</v>
      </c>
      <c r="B458" s="304">
        <f t="shared" ca="1" si="210"/>
        <v>4.5399999999999476</v>
      </c>
      <c r="D458" s="306">
        <f t="shared" ca="1" si="211"/>
        <v>-1.4100642029965591</v>
      </c>
      <c r="E458" s="307">
        <f t="shared" ca="1" si="212"/>
        <v>-21.013966037555313</v>
      </c>
      <c r="F458" s="304">
        <f t="shared" ca="1" si="213"/>
        <v>21.061221467049354</v>
      </c>
      <c r="G458" s="306">
        <f t="shared" ca="1" si="214"/>
        <v>28.468778862730076</v>
      </c>
      <c r="H458" s="307">
        <f t="shared" ca="1" si="215"/>
        <v>226.10665779107381</v>
      </c>
      <c r="I458" s="304">
        <f t="shared" ca="1" si="216"/>
        <v>227.89184291541631</v>
      </c>
      <c r="J458" s="306">
        <f t="shared" ca="1" si="217"/>
        <v>74.157493769216515</v>
      </c>
      <c r="K458" s="307">
        <f t="shared" ca="1" si="218"/>
        <v>640.41171246305953</v>
      </c>
      <c r="L458" s="304">
        <f t="shared" ca="1" si="203"/>
        <v>644.69100764784969</v>
      </c>
      <c r="M458" s="306">
        <f t="shared" ca="1" si="219"/>
        <v>1.4455467842943663</v>
      </c>
      <c r="N458" s="304">
        <f t="shared" ca="1" si="220"/>
        <v>82.823729828775186</v>
      </c>
      <c r="P458" s="310">
        <f t="shared" ca="1" si="221"/>
        <v>19</v>
      </c>
      <c r="Q458" s="304">
        <f t="shared" ca="1" si="222"/>
        <v>128.33125000004102</v>
      </c>
      <c r="R458" s="306">
        <f t="shared" ca="1" si="223"/>
        <v>6.4285263204085466E-2</v>
      </c>
      <c r="S458" s="307">
        <f t="shared" ca="1" si="224"/>
        <v>10.643252399988372</v>
      </c>
      <c r="T458" s="304">
        <f t="shared" ca="1" si="204"/>
        <v>104.41030604388592</v>
      </c>
      <c r="U458" s="311">
        <f t="shared" ca="1" si="205"/>
        <v>0</v>
      </c>
      <c r="V458" s="306">
        <f t="shared" ca="1" si="206"/>
        <v>1.1489836531658377</v>
      </c>
      <c r="W458" s="304">
        <f t="shared" ca="1" si="207"/>
        <v>248.00446296094066</v>
      </c>
      <c r="Y458" s="314" t="str">
        <f t="shared" ca="1" si="225"/>
        <v/>
      </c>
      <c r="Z458" s="315" t="str">
        <f t="shared" ca="1" si="226"/>
        <v/>
      </c>
      <c r="AA458" s="316" t="str">
        <f t="shared" ca="1" si="227"/>
        <v/>
      </c>
      <c r="AC458" s="310" t="e">
        <f t="shared" ca="1" si="228"/>
        <v>#N/A</v>
      </c>
      <c r="AD458" s="323" t="e">
        <f t="shared" ca="1" si="229"/>
        <v>#N/A</v>
      </c>
      <c r="AE458" s="324">
        <f t="shared" ca="1" si="208"/>
        <v>640.41171246305953</v>
      </c>
      <c r="AG458" s="306">
        <f t="shared" ca="1" si="230"/>
        <v>-21.025568026815947</v>
      </c>
      <c r="AH458" s="304">
        <f t="shared" ca="1" si="231"/>
        <v>-11.292348561183596</v>
      </c>
    </row>
    <row r="459" spans="1:34" x14ac:dyDescent="0.25">
      <c r="A459" s="347">
        <f t="shared" ca="1" si="209"/>
        <v>0.01</v>
      </c>
      <c r="B459" s="304">
        <f t="shared" ca="1" si="210"/>
        <v>4.5499999999999474</v>
      </c>
      <c r="D459" s="306">
        <f t="shared" ca="1" si="211"/>
        <v>-1.4975880181054657</v>
      </c>
      <c r="E459" s="307">
        <f t="shared" ca="1" si="212"/>
        <v>-21.704244679566596</v>
      </c>
      <c r="F459" s="304">
        <f t="shared" ca="1" si="213"/>
        <v>21.755849948518858</v>
      </c>
      <c r="G459" s="306">
        <f t="shared" ca="1" si="214"/>
        <v>28.453802982549021</v>
      </c>
      <c r="H459" s="307">
        <f t="shared" ca="1" si="215"/>
        <v>225.88961534427816</v>
      </c>
      <c r="I459" s="304">
        <f t="shared" ca="1" si="216"/>
        <v>227.6746301733148</v>
      </c>
      <c r="J459" s="306">
        <f t="shared" ca="1" si="217"/>
        <v>74.442106678442912</v>
      </c>
      <c r="K459" s="307">
        <f t="shared" ca="1" si="218"/>
        <v>642.67169382873624</v>
      </c>
      <c r="L459" s="304">
        <f t="shared" ca="1" si="203"/>
        <v>646.96872667496189</v>
      </c>
      <c r="M459" s="306">
        <f t="shared" ca="1" si="219"/>
        <v>1.4454929580069231</v>
      </c>
      <c r="N459" s="304">
        <f t="shared" ca="1" si="220"/>
        <v>82.820645809677828</v>
      </c>
      <c r="P459" s="310">
        <f t="shared" ca="1" si="221"/>
        <v>19</v>
      </c>
      <c r="Q459" s="304">
        <f t="shared" ca="1" si="222"/>
        <v>120.4187500000412</v>
      </c>
      <c r="R459" s="306">
        <f t="shared" ca="1" si="223"/>
        <v>6.0321636689872032E-2</v>
      </c>
      <c r="S459" s="307">
        <f t="shared" ca="1" si="224"/>
        <v>10.642649183621472</v>
      </c>
      <c r="T459" s="304">
        <f t="shared" ca="1" si="204"/>
        <v>104.40438849132664</v>
      </c>
      <c r="U459" s="311">
        <f t="shared" ca="1" si="205"/>
        <v>0</v>
      </c>
      <c r="V459" s="306">
        <f t="shared" ca="1" si="206"/>
        <v>1.1487237469435161</v>
      </c>
      <c r="W459" s="304">
        <f t="shared" ca="1" si="207"/>
        <v>247.47592947366658</v>
      </c>
      <c r="Y459" s="314" t="str">
        <f t="shared" ca="1" si="225"/>
        <v/>
      </c>
      <c r="Z459" s="315" t="str">
        <f t="shared" ca="1" si="226"/>
        <v/>
      </c>
      <c r="AA459" s="316" t="str">
        <f t="shared" ca="1" si="227"/>
        <v/>
      </c>
      <c r="AC459" s="310" t="e">
        <f t="shared" ca="1" si="228"/>
        <v>#N/A</v>
      </c>
      <c r="AD459" s="323" t="e">
        <f t="shared" ca="1" si="229"/>
        <v>#N/A</v>
      </c>
      <c r="AE459" s="324">
        <f t="shared" ca="1" si="208"/>
        <v>642.67169382873624</v>
      </c>
      <c r="AG459" s="306">
        <f t="shared" ca="1" si="230"/>
        <v>-21.721307191888769</v>
      </c>
      <c r="AH459" s="304">
        <f t="shared" ca="1" si="231"/>
        <v>-11.988153584658955</v>
      </c>
    </row>
    <row r="460" spans="1:34" x14ac:dyDescent="0.25">
      <c r="A460" s="347">
        <f t="shared" ca="1" si="209"/>
        <v>0.01</v>
      </c>
      <c r="B460" s="304">
        <f t="shared" ca="1" si="210"/>
        <v>4.5599999999999472</v>
      </c>
      <c r="D460" s="306">
        <f t="shared" ca="1" si="211"/>
        <v>-1.5850214679632582</v>
      </c>
      <c r="E460" s="307">
        <f t="shared" ca="1" si="212"/>
        <v>-22.393199860146375</v>
      </c>
      <c r="F460" s="304">
        <f t="shared" ca="1" si="213"/>
        <v>22.449224775710274</v>
      </c>
      <c r="G460" s="306">
        <f t="shared" ca="1" si="214"/>
        <v>28.43795276786939</v>
      </c>
      <c r="H460" s="307">
        <f t="shared" ca="1" si="215"/>
        <v>225.66568334567668</v>
      </c>
      <c r="I460" s="304">
        <f t="shared" ca="1" si="216"/>
        <v>227.45047328484236</v>
      </c>
      <c r="J460" s="306">
        <f t="shared" ca="1" si="217"/>
        <v>74.726565457195008</v>
      </c>
      <c r="K460" s="307">
        <f t="shared" ca="1" si="218"/>
        <v>644.92947032218603</v>
      </c>
      <c r="L460" s="304">
        <f t="shared" ca="1" si="203"/>
        <v>649.24423853822827</v>
      </c>
      <c r="M460" s="306">
        <f t="shared" ca="1" si="219"/>
        <v>1.4454390556391343</v>
      </c>
      <c r="N460" s="304">
        <f t="shared" ca="1" si="220"/>
        <v>82.817557431497775</v>
      </c>
      <c r="P460" s="310">
        <f t="shared" ca="1" si="221"/>
        <v>19</v>
      </c>
      <c r="Q460" s="304">
        <f t="shared" ca="1" si="222"/>
        <v>112.50625000004138</v>
      </c>
      <c r="R460" s="306">
        <f t="shared" ca="1" si="223"/>
        <v>5.6358010175658606E-2</v>
      </c>
      <c r="S460" s="307">
        <f t="shared" ca="1" si="224"/>
        <v>10.642085603519716</v>
      </c>
      <c r="T460" s="304">
        <f t="shared" ca="1" si="204"/>
        <v>104.39885977052842</v>
      </c>
      <c r="U460" s="311">
        <f t="shared" ca="1" si="205"/>
        <v>0</v>
      </c>
      <c r="V460" s="306">
        <f t="shared" ca="1" si="206"/>
        <v>1.148464151109803</v>
      </c>
      <c r="W460" s="304">
        <f t="shared" ca="1" si="207"/>
        <v>246.93304877457842</v>
      </c>
      <c r="Y460" s="314" t="str">
        <f t="shared" ca="1" si="225"/>
        <v/>
      </c>
      <c r="Z460" s="315" t="str">
        <f t="shared" ca="1" si="226"/>
        <v/>
      </c>
      <c r="AA460" s="316" t="str">
        <f t="shared" ca="1" si="227"/>
        <v/>
      </c>
      <c r="AC460" s="310" t="e">
        <f t="shared" ca="1" si="228"/>
        <v>#N/A</v>
      </c>
      <c r="AD460" s="323" t="e">
        <f t="shared" ca="1" si="229"/>
        <v>#N/A</v>
      </c>
      <c r="AE460" s="324">
        <f t="shared" ca="1" si="208"/>
        <v>644.92947032218603</v>
      </c>
      <c r="AG460" s="306">
        <f t="shared" ca="1" si="230"/>
        <v>-22.415721889714149</v>
      </c>
      <c r="AH460" s="304">
        <f t="shared" ca="1" si="231"/>
        <v>-12.68263426005387</v>
      </c>
    </row>
    <row r="461" spans="1:34" x14ac:dyDescent="0.25">
      <c r="A461" s="347">
        <f t="shared" ca="1" si="209"/>
        <v>0.01</v>
      </c>
      <c r="B461" s="304">
        <f t="shared" ca="1" si="210"/>
        <v>4.569999999999947</v>
      </c>
      <c r="D461" s="306">
        <f t="shared" ca="1" si="211"/>
        <v>-1.6723644995469427</v>
      </c>
      <c r="E461" s="307">
        <f t="shared" ca="1" si="212"/>
        <v>-23.080831436913805</v>
      </c>
      <c r="F461" s="304">
        <f t="shared" ca="1" si="213"/>
        <v>23.14133926199116</v>
      </c>
      <c r="G461" s="306">
        <f t="shared" ca="1" si="214"/>
        <v>28.421229122873921</v>
      </c>
      <c r="H461" s="307">
        <f t="shared" ca="1" si="215"/>
        <v>225.43487503130754</v>
      </c>
      <c r="I461" s="304">
        <f t="shared" ca="1" si="216"/>
        <v>227.21938549612386</v>
      </c>
      <c r="J461" s="306">
        <f t="shared" ca="1" si="217"/>
        <v>75.010861366648726</v>
      </c>
      <c r="K461" s="307">
        <f t="shared" ca="1" si="218"/>
        <v>647.184973114071</v>
      </c>
      <c r="L461" s="304">
        <f t="shared" ca="1" si="203"/>
        <v>651.51747386208103</v>
      </c>
      <c r="M461" s="306">
        <f t="shared" ca="1" si="219"/>
        <v>1.4453850753619462</v>
      </c>
      <c r="N461" s="304">
        <f t="shared" ca="1" si="220"/>
        <v>82.814464589437947</v>
      </c>
      <c r="P461" s="310">
        <f t="shared" ca="1" si="221"/>
        <v>19</v>
      </c>
      <c r="Q461" s="304">
        <f t="shared" ca="1" si="222"/>
        <v>104.59375000004155</v>
      </c>
      <c r="R461" s="306">
        <f t="shared" ca="1" si="223"/>
        <v>5.2394383661445172E-2</v>
      </c>
      <c r="S461" s="307">
        <f t="shared" ca="1" si="224"/>
        <v>10.641561659683102</v>
      </c>
      <c r="T461" s="304">
        <f t="shared" ca="1" si="204"/>
        <v>104.39371988149124</v>
      </c>
      <c r="U461" s="311">
        <f t="shared" ca="1" si="205"/>
        <v>0</v>
      </c>
      <c r="V461" s="306">
        <f t="shared" ca="1" si="206"/>
        <v>1.1482048733910126</v>
      </c>
      <c r="W461" s="304">
        <f t="shared" ca="1" si="207"/>
        <v>246.37590534041504</v>
      </c>
      <c r="Y461" s="314" t="str">
        <f t="shared" ca="1" si="225"/>
        <v/>
      </c>
      <c r="Z461" s="315" t="str">
        <f t="shared" ca="1" si="226"/>
        <v/>
      </c>
      <c r="AA461" s="316" t="str">
        <f t="shared" ca="1" si="227"/>
        <v/>
      </c>
      <c r="AC461" s="310" t="e">
        <f t="shared" ca="1" si="228"/>
        <v>#N/A</v>
      </c>
      <c r="AD461" s="323" t="e">
        <f t="shared" ca="1" si="229"/>
        <v>#N/A</v>
      </c>
      <c r="AE461" s="324">
        <f t="shared" ca="1" si="208"/>
        <v>647.184973114071</v>
      </c>
      <c r="AG461" s="306">
        <f t="shared" ca="1" si="230"/>
        <v>-23.108811976240382</v>
      </c>
      <c r="AH461" s="304">
        <f t="shared" ca="1" si="231"/>
        <v>-13.375790445664309</v>
      </c>
    </row>
    <row r="462" spans="1:34" x14ac:dyDescent="0.25">
      <c r="A462" s="347">
        <f t="shared" ca="1" si="209"/>
        <v>0.01</v>
      </c>
      <c r="B462" s="304">
        <f t="shared" ca="1" si="210"/>
        <v>4.5799999999999468</v>
      </c>
      <c r="D462" s="306">
        <f t="shared" ca="1" si="211"/>
        <v>-1.7596170817505912</v>
      </c>
      <c r="E462" s="307">
        <f t="shared" ca="1" si="212"/>
        <v>-23.767139404929672</v>
      </c>
      <c r="F462" s="304">
        <f t="shared" ca="1" si="213"/>
        <v>23.832187641250002</v>
      </c>
      <c r="G462" s="306">
        <f t="shared" ca="1" si="214"/>
        <v>28.403632952056416</v>
      </c>
      <c r="H462" s="307">
        <f t="shared" ca="1" si="215"/>
        <v>225.19720363725824</v>
      </c>
      <c r="I462" s="304">
        <f t="shared" ca="1" si="216"/>
        <v>226.98138005333368</v>
      </c>
      <c r="J462" s="306">
        <f t="shared" ca="1" si="217"/>
        <v>75.294985677023377</v>
      </c>
      <c r="K462" s="307">
        <f t="shared" ca="1" si="218"/>
        <v>649.4381335074138</v>
      </c>
      <c r="L462" s="304">
        <f t="shared" ca="1" si="203"/>
        <v>653.78836340340024</v>
      </c>
      <c r="M462" s="306">
        <f t="shared" ca="1" si="219"/>
        <v>1.4453310153359527</v>
      </c>
      <c r="N462" s="304">
        <f t="shared" ca="1" si="220"/>
        <v>82.811367178108142</v>
      </c>
      <c r="P462" s="310">
        <f t="shared" ca="1" si="221"/>
        <v>19</v>
      </c>
      <c r="Q462" s="304">
        <f t="shared" ca="1" si="222"/>
        <v>96.681250000041729</v>
      </c>
      <c r="R462" s="306">
        <f t="shared" ca="1" si="223"/>
        <v>4.8430757147231746E-2</v>
      </c>
      <c r="S462" s="307">
        <f t="shared" ca="1" si="224"/>
        <v>10.64107735211163</v>
      </c>
      <c r="T462" s="304">
        <f t="shared" ca="1" si="204"/>
        <v>104.3889688242151</v>
      </c>
      <c r="U462" s="311">
        <f t="shared" ca="1" si="205"/>
        <v>0</v>
      </c>
      <c r="V462" s="306">
        <f t="shared" ca="1" si="206"/>
        <v>1.1479459214916226</v>
      </c>
      <c r="W462" s="304">
        <f t="shared" ca="1" si="207"/>
        <v>245.80458479965475</v>
      </c>
      <c r="Y462" s="314" t="str">
        <f t="shared" ca="1" si="225"/>
        <v/>
      </c>
      <c r="Z462" s="315" t="str">
        <f t="shared" ca="1" si="226"/>
        <v/>
      </c>
      <c r="AA462" s="316" t="str">
        <f t="shared" ca="1" si="227"/>
        <v/>
      </c>
      <c r="AC462" s="310" t="e">
        <f t="shared" ca="1" si="228"/>
        <v>#N/A</v>
      </c>
      <c r="AD462" s="323" t="e">
        <f t="shared" ca="1" si="229"/>
        <v>#N/A</v>
      </c>
      <c r="AE462" s="324">
        <f t="shared" ca="1" si="208"/>
        <v>649.4381335074138</v>
      </c>
      <c r="AG462" s="306">
        <f t="shared" ca="1" si="230"/>
        <v>-23.800577446518957</v>
      </c>
      <c r="AH462" s="304">
        <f t="shared" ca="1" si="231"/>
        <v>-14.067622138905673</v>
      </c>
    </row>
    <row r="463" spans="1:34" x14ac:dyDescent="0.25">
      <c r="A463" s="347">
        <f t="shared" ca="1" si="209"/>
        <v>0.01</v>
      </c>
      <c r="B463" s="304">
        <f t="shared" ca="1" si="210"/>
        <v>4.5899999999999466</v>
      </c>
      <c r="D463" s="306">
        <f t="shared" ca="1" si="211"/>
        <v>-1.84677920527808</v>
      </c>
      <c r="E463" s="307">
        <f t="shared" ca="1" si="212"/>
        <v>-24.45212389542063</v>
      </c>
      <c r="F463" s="304">
        <f t="shared" ca="1" si="213"/>
        <v>24.521764953405128</v>
      </c>
      <c r="G463" s="306">
        <f t="shared" ca="1" si="214"/>
        <v>28.385165160003634</v>
      </c>
      <c r="H463" s="307">
        <f t="shared" ca="1" si="215"/>
        <v>224.95268239830403</v>
      </c>
      <c r="I463" s="304">
        <f t="shared" ca="1" si="216"/>
        <v>226.73647020131747</v>
      </c>
      <c r="J463" s="306">
        <f t="shared" ca="1" si="217"/>
        <v>75.578929667583679</v>
      </c>
      <c r="K463" s="307">
        <f t="shared" ca="1" si="218"/>
        <v>651.68888293759164</v>
      </c>
      <c r="L463" s="304">
        <f t="shared" ca="1" si="203"/>
        <v>656.05683805150875</v>
      </c>
      <c r="M463" s="306">
        <f t="shared" ca="1" si="219"/>
        <v>1.4452768737110295</v>
      </c>
      <c r="N463" s="304">
        <f t="shared" ca="1" si="220"/>
        <v>82.808265091504069</v>
      </c>
      <c r="P463" s="310">
        <f t="shared" ca="1" si="221"/>
        <v>19</v>
      </c>
      <c r="Q463" s="304">
        <f t="shared" ca="1" si="222"/>
        <v>88.768750000041905</v>
      </c>
      <c r="R463" s="306">
        <f t="shared" ca="1" si="223"/>
        <v>4.4467130633018312E-2</v>
      </c>
      <c r="S463" s="307">
        <f t="shared" ca="1" si="224"/>
        <v>10.6406326808053</v>
      </c>
      <c r="T463" s="304">
        <f t="shared" ca="1" si="204"/>
        <v>104.3846065987</v>
      </c>
      <c r="U463" s="311">
        <f t="shared" ca="1" si="205"/>
        <v>0</v>
      </c>
      <c r="V463" s="306">
        <f t="shared" ca="1" si="206"/>
        <v>1.1476873030943129</v>
      </c>
      <c r="W463" s="304">
        <f t="shared" ca="1" si="207"/>
        <v>245.21917391865199</v>
      </c>
      <c r="Y463" s="314" t="str">
        <f t="shared" ca="1" si="225"/>
        <v/>
      </c>
      <c r="Z463" s="315" t="str">
        <f t="shared" ca="1" si="226"/>
        <v/>
      </c>
      <c r="AA463" s="316" t="str">
        <f t="shared" ca="1" si="227"/>
        <v/>
      </c>
      <c r="AC463" s="310" t="e">
        <f t="shared" ca="1" si="228"/>
        <v>#N/A</v>
      </c>
      <c r="AD463" s="323" t="e">
        <f t="shared" ca="1" si="229"/>
        <v>#N/A</v>
      </c>
      <c r="AE463" s="324">
        <f t="shared" ca="1" si="208"/>
        <v>651.68888293759164</v>
      </c>
      <c r="AG463" s="306">
        <f t="shared" ca="1" si="230"/>
        <v>-24.49101843342622</v>
      </c>
      <c r="AH463" s="304">
        <f t="shared" ca="1" si="231"/>
        <v>-14.758129475034949</v>
      </c>
    </row>
    <row r="464" spans="1:34" x14ac:dyDescent="0.25">
      <c r="A464" s="347">
        <f t="shared" ca="1" si="209"/>
        <v>0.01</v>
      </c>
      <c r="B464" s="304">
        <f t="shared" ca="1" si="210"/>
        <v>4.5999999999999464</v>
      </c>
      <c r="D464" s="306">
        <f t="shared" ca="1" si="211"/>
        <v>-1.9338508825370953</v>
      </c>
      <c r="E464" s="307">
        <f t="shared" ca="1" si="212"/>
        <v>-25.135785174504569</v>
      </c>
      <c r="F464" s="304">
        <f t="shared" ca="1" si="213"/>
        <v>25.210066949033141</v>
      </c>
      <c r="G464" s="306">
        <f t="shared" ca="1" si="214"/>
        <v>28.365826651178264</v>
      </c>
      <c r="H464" s="307">
        <f t="shared" ca="1" si="215"/>
        <v>224.70132454655899</v>
      </c>
      <c r="I464" s="304">
        <f t="shared" ca="1" si="216"/>
        <v>226.48466918222684</v>
      </c>
      <c r="J464" s="306">
        <f t="shared" ca="1" si="217"/>
        <v>75.862684626639592</v>
      </c>
      <c r="K464" s="307">
        <f t="shared" ca="1" si="218"/>
        <v>653.93715297231597</v>
      </c>
      <c r="L464" s="304">
        <f t="shared" ca="1" si="203"/>
        <v>658.32282882815105</v>
      </c>
      <c r="M464" s="306">
        <f t="shared" ca="1" si="219"/>
        <v>1.4452226486259647</v>
      </c>
      <c r="N464" s="304">
        <f t="shared" ca="1" si="220"/>
        <v>82.805158222986122</v>
      </c>
      <c r="P464" s="310">
        <f t="shared" ca="1" si="221"/>
        <v>19</v>
      </c>
      <c r="Q464" s="304">
        <f t="shared" ca="1" si="222"/>
        <v>80.856250000042081</v>
      </c>
      <c r="R464" s="306">
        <f t="shared" ca="1" si="223"/>
        <v>4.0503504118804885E-2</v>
      </c>
      <c r="S464" s="307">
        <f t="shared" ca="1" si="224"/>
        <v>10.640227645764112</v>
      </c>
      <c r="T464" s="304">
        <f t="shared" ca="1" si="204"/>
        <v>104.38063320494594</v>
      </c>
      <c r="U464" s="311">
        <f t="shared" ca="1" si="205"/>
        <v>0</v>
      </c>
      <c r="V464" s="306">
        <f t="shared" ca="1" si="206"/>
        <v>1.1474290258600108</v>
      </c>
      <c r="W464" s="304">
        <f t="shared" ca="1" si="207"/>
        <v>244.61976058787431</v>
      </c>
      <c r="Y464" s="314" t="str">
        <f t="shared" ca="1" si="225"/>
        <v/>
      </c>
      <c r="Z464" s="315" t="str">
        <f t="shared" ca="1" si="226"/>
        <v/>
      </c>
      <c r="AA464" s="316" t="str">
        <f t="shared" ca="1" si="227"/>
        <v/>
      </c>
      <c r="AC464" s="310" t="e">
        <f t="shared" ca="1" si="228"/>
        <v>#N/A</v>
      </c>
      <c r="AD464" s="323" t="e">
        <f t="shared" ca="1" si="229"/>
        <v>#N/A</v>
      </c>
      <c r="AE464" s="324">
        <f t="shared" ca="1" si="208"/>
        <v>653.93715297231597</v>
      </c>
      <c r="AG464" s="306">
        <f t="shared" ca="1" si="230"/>
        <v>-25.180135206386328</v>
      </c>
      <c r="AH464" s="304">
        <f t="shared" ca="1" si="231"/>
        <v>-15.44731272587415</v>
      </c>
    </row>
    <row r="465" spans="1:34" x14ac:dyDescent="0.25">
      <c r="A465" s="347">
        <f t="shared" ca="1" si="209"/>
        <v>0.01</v>
      </c>
      <c r="B465" s="304">
        <f t="shared" ca="1" si="210"/>
        <v>4.6099999999999461</v>
      </c>
      <c r="D465" s="306">
        <f t="shared" ca="1" si="211"/>
        <v>-2.0001606365772684</v>
      </c>
      <c r="E465" s="307">
        <f t="shared" ca="1" si="212"/>
        <v>-25.654373226687966</v>
      </c>
      <c r="F465" s="304">
        <f t="shared" ca="1" si="213"/>
        <v>25.73222703588474</v>
      </c>
      <c r="G465" s="306">
        <f t="shared" ca="1" si="214"/>
        <v>28.345825044812489</v>
      </c>
      <c r="H465" s="307">
        <f t="shared" ca="1" si="215"/>
        <v>224.4447808142921</v>
      </c>
      <c r="I465" s="304">
        <f t="shared" ca="1" si="216"/>
        <v>226.22764073438671</v>
      </c>
      <c r="J465" s="306">
        <f t="shared" ca="1" si="217"/>
        <v>76.146242885119548</v>
      </c>
      <c r="K465" s="307">
        <f t="shared" ca="1" si="218"/>
        <v>656.18288349912018</v>
      </c>
      <c r="L465" s="304">
        <f t="shared" ca="1" si="203"/>
        <v>660.58627513954571</v>
      </c>
      <c r="M465" s="306">
        <f t="shared" ca="1" si="219"/>
        <v>1.4451683386043173</v>
      </c>
      <c r="N465" s="304">
        <f t="shared" ca="1" si="220"/>
        <v>82.802046487960453</v>
      </c>
      <c r="P465" s="310">
        <f t="shared" ca="1" si="221"/>
        <v>20</v>
      </c>
      <c r="Q465" s="304">
        <f t="shared" ca="1" si="222"/>
        <v>74.700000000023536</v>
      </c>
      <c r="R465" s="306">
        <f t="shared" ca="1" si="223"/>
        <v>3.7419639887752688E-2</v>
      </c>
      <c r="S465" s="307">
        <f t="shared" ca="1" si="224"/>
        <v>10.639853449365233</v>
      </c>
      <c r="T465" s="304">
        <f t="shared" ca="1" si="204"/>
        <v>104.37696233827295</v>
      </c>
      <c r="U465" s="311">
        <f t="shared" ca="1" si="205"/>
        <v>0</v>
      </c>
      <c r="V465" s="306">
        <f t="shared" ca="1" si="206"/>
        <v>1.1471710964876725</v>
      </c>
      <c r="W465" s="304">
        <f t="shared" ca="1" si="207"/>
        <v>244.00999406689104</v>
      </c>
      <c r="Y465" s="314" t="str">
        <f t="shared" ca="1" si="225"/>
        <v/>
      </c>
      <c r="Z465" s="315" t="str">
        <f t="shared" ca="1" si="226"/>
        <v/>
      </c>
      <c r="AA465" s="316" t="str">
        <f t="shared" ca="1" si="227"/>
        <v/>
      </c>
      <c r="AC465" s="310" t="e">
        <f t="shared" ca="1" si="228"/>
        <v>#N/A</v>
      </c>
      <c r="AD465" s="323" t="e">
        <f t="shared" ca="1" si="229"/>
        <v>#N/A</v>
      </c>
      <c r="AE465" s="324">
        <f t="shared" ca="1" si="208"/>
        <v>656.18288349912018</v>
      </c>
      <c r="AG465" s="306">
        <f t="shared" ca="1" si="230"/>
        <v>-25.702878147820563</v>
      </c>
      <c r="AH465" s="304">
        <f t="shared" ca="1" si="231"/>
        <v>-15.970122276260117</v>
      </c>
    </row>
    <row r="466" spans="1:34" x14ac:dyDescent="0.25">
      <c r="A466" s="347">
        <f t="shared" ca="1" si="209"/>
        <v>0.01</v>
      </c>
      <c r="B466" s="304">
        <f t="shared" ca="1" si="210"/>
        <v>4.6199999999999459</v>
      </c>
      <c r="D466" s="306">
        <f t="shared" ca="1" si="211"/>
        <v>-2.0457236672078771</v>
      </c>
      <c r="E466" s="307">
        <f t="shared" ca="1" si="212"/>
        <v>-26.008223172802303</v>
      </c>
      <c r="F466" s="304">
        <f t="shared" ca="1" si="213"/>
        <v>26.088554155584497</v>
      </c>
      <c r="G466" s="306">
        <f t="shared" ca="1" si="214"/>
        <v>28.32536780814041</v>
      </c>
      <c r="H466" s="307">
        <f t="shared" ca="1" si="215"/>
        <v>224.18469858256407</v>
      </c>
      <c r="I466" s="304">
        <f t="shared" ca="1" si="216"/>
        <v>225.96704525222597</v>
      </c>
      <c r="J466" s="306">
        <f t="shared" ca="1" si="217"/>
        <v>76.42959884938432</v>
      </c>
      <c r="K466" s="307">
        <f t="shared" ca="1" si="218"/>
        <v>658.42603089610441</v>
      </c>
      <c r="L466" s="304">
        <f t="shared" ca="1" si="203"/>
        <v>662.84713301173417</v>
      </c>
      <c r="M466" s="306">
        <f t="shared" ca="1" si="219"/>
        <v>1.445113942557781</v>
      </c>
      <c r="N466" s="304">
        <f t="shared" ca="1" si="220"/>
        <v>82.798929824071735</v>
      </c>
      <c r="P466" s="310">
        <f t="shared" ca="1" si="221"/>
        <v>20</v>
      </c>
      <c r="Q466" s="304">
        <f t="shared" ca="1" si="222"/>
        <v>70.300000000023687</v>
      </c>
      <c r="R466" s="306">
        <f t="shared" ca="1" si="223"/>
        <v>3.5215537939880477E-2</v>
      </c>
      <c r="S466" s="307">
        <f t="shared" ca="1" si="224"/>
        <v>10.639501293985834</v>
      </c>
      <c r="T466" s="304">
        <f t="shared" ca="1" si="204"/>
        <v>104.37350769400103</v>
      </c>
      <c r="U466" s="311">
        <f t="shared" ca="1" si="205"/>
        <v>0</v>
      </c>
      <c r="V466" s="306">
        <f t="shared" ca="1" si="206"/>
        <v>1.146913519777214</v>
      </c>
      <c r="W466" s="304">
        <f t="shared" ca="1" si="207"/>
        <v>243.39349736855786</v>
      </c>
      <c r="Y466" s="314" t="str">
        <f t="shared" ca="1" si="225"/>
        <v/>
      </c>
      <c r="Z466" s="315" t="str">
        <f t="shared" ca="1" si="226"/>
        <v/>
      </c>
      <c r="AA466" s="316" t="str">
        <f t="shared" ca="1" si="227"/>
        <v/>
      </c>
      <c r="AC466" s="310" t="e">
        <f t="shared" ca="1" si="228"/>
        <v>#N/A</v>
      </c>
      <c r="AD466" s="323" t="e">
        <f t="shared" ca="1" si="229"/>
        <v>#N/A</v>
      </c>
      <c r="AE466" s="324">
        <f t="shared" ca="1" si="208"/>
        <v>658.42603089610441</v>
      </c>
      <c r="AG466" s="306">
        <f t="shared" ca="1" si="230"/>
        <v>-26.059581647104224</v>
      </c>
      <c r="AH466" s="304">
        <f t="shared" ca="1" si="231"/>
        <v>-16.326892517514896</v>
      </c>
    </row>
    <row r="467" spans="1:34" x14ac:dyDescent="0.25">
      <c r="A467" s="347">
        <f t="shared" ca="1" si="209"/>
        <v>0.01</v>
      </c>
      <c r="B467" s="304">
        <f t="shared" ca="1" si="210"/>
        <v>4.6299999999999457</v>
      </c>
      <c r="D467" s="306">
        <f t="shared" ca="1" si="211"/>
        <v>-2.091245895079425</v>
      </c>
      <c r="E467" s="307">
        <f t="shared" ca="1" si="212"/>
        <v>-26.361429581637069</v>
      </c>
      <c r="F467" s="304">
        <f t="shared" ca="1" si="213"/>
        <v>26.444248504756121</v>
      </c>
      <c r="G467" s="306">
        <f t="shared" ca="1" si="214"/>
        <v>28.304455349189617</v>
      </c>
      <c r="H467" s="307">
        <f t="shared" ca="1" si="215"/>
        <v>223.92108428674769</v>
      </c>
      <c r="I467" s="304">
        <f t="shared" ca="1" si="216"/>
        <v>225.70288917239637</v>
      </c>
      <c r="J467" s="306">
        <f t="shared" ca="1" si="217"/>
        <v>76.712747965170976</v>
      </c>
      <c r="K467" s="307">
        <f t="shared" ca="1" si="218"/>
        <v>660.66655981045096</v>
      </c>
      <c r="L467" s="304">
        <f t="shared" ca="1" si="203"/>
        <v>665.10536680449661</v>
      </c>
      <c r="M467" s="306">
        <f t="shared" ca="1" si="219"/>
        <v>1.445059459391286</v>
      </c>
      <c r="N467" s="304">
        <f t="shared" ca="1" si="220"/>
        <v>82.795808168577068</v>
      </c>
      <c r="P467" s="310">
        <f t="shared" ca="1" si="221"/>
        <v>20</v>
      </c>
      <c r="Q467" s="304">
        <f t="shared" ca="1" si="222"/>
        <v>65.900000000023837</v>
      </c>
      <c r="R467" s="306">
        <f t="shared" ca="1" si="223"/>
        <v>3.3011435992008266E-2</v>
      </c>
      <c r="S467" s="307">
        <f t="shared" ca="1" si="224"/>
        <v>10.639171179625913</v>
      </c>
      <c r="T467" s="304">
        <f t="shared" ca="1" si="204"/>
        <v>104.37026927213022</v>
      </c>
      <c r="U467" s="311">
        <f t="shared" ca="1" si="205"/>
        <v>0</v>
      </c>
      <c r="V467" s="306">
        <f t="shared" ca="1" si="206"/>
        <v>1.1466562995753389</v>
      </c>
      <c r="W467" s="304">
        <f t="shared" ca="1" si="207"/>
        <v>242.77031596835781</v>
      </c>
      <c r="Y467" s="314" t="str">
        <f t="shared" ca="1" si="225"/>
        <v/>
      </c>
      <c r="Z467" s="315" t="str">
        <f t="shared" ca="1" si="226"/>
        <v/>
      </c>
      <c r="AA467" s="316" t="str">
        <f t="shared" ca="1" si="227"/>
        <v/>
      </c>
      <c r="AC467" s="310" t="e">
        <f t="shared" ca="1" si="228"/>
        <v>#N/A</v>
      </c>
      <c r="AD467" s="323" t="e">
        <f t="shared" ca="1" si="229"/>
        <v>#N/A</v>
      </c>
      <c r="AE467" s="324">
        <f t="shared" ca="1" si="208"/>
        <v>660.66655981045096</v>
      </c>
      <c r="AG467" s="306">
        <f t="shared" ca="1" si="230"/>
        <v>-26.415641481958005</v>
      </c>
      <c r="AH467" s="304">
        <f t="shared" ca="1" si="231"/>
        <v>-16.683019228831967</v>
      </c>
    </row>
    <row r="468" spans="1:34" x14ac:dyDescent="0.25">
      <c r="A468" s="347">
        <f t="shared" ca="1" si="209"/>
        <v>0.01</v>
      </c>
      <c r="B468" s="304">
        <f t="shared" ca="1" si="210"/>
        <v>4.6399999999999455</v>
      </c>
      <c r="D468" s="306">
        <f t="shared" ca="1" si="211"/>
        <v>-2.1367275762253755</v>
      </c>
      <c r="E468" s="307">
        <f t="shared" ca="1" si="212"/>
        <v>-26.713994434483233</v>
      </c>
      <c r="F468" s="304">
        <f t="shared" ca="1" si="213"/>
        <v>26.799311621394367</v>
      </c>
      <c r="G468" s="306">
        <f t="shared" ca="1" si="214"/>
        <v>28.283088073427361</v>
      </c>
      <c r="H468" s="307">
        <f t="shared" ca="1" si="215"/>
        <v>223.65394434240287</v>
      </c>
      <c r="I468" s="304">
        <f t="shared" ca="1" si="216"/>
        <v>225.43517891155295</v>
      </c>
      <c r="J468" s="306">
        <f t="shared" ca="1" si="217"/>
        <v>76.995685682284062</v>
      </c>
      <c r="K468" s="307">
        <f t="shared" ca="1" si="218"/>
        <v>662.90443495359671</v>
      </c>
      <c r="L468" s="304">
        <f t="shared" ca="1" si="203"/>
        <v>667.3609409418807</v>
      </c>
      <c r="M468" s="306">
        <f t="shared" ca="1" si="219"/>
        <v>1.4450048880028667</v>
      </c>
      <c r="N468" s="304">
        <f t="shared" ca="1" si="220"/>
        <v>82.792681458338464</v>
      </c>
      <c r="P468" s="310">
        <f t="shared" ca="1" si="221"/>
        <v>20</v>
      </c>
      <c r="Q468" s="304">
        <f t="shared" ca="1" si="222"/>
        <v>61.500000000023995</v>
      </c>
      <c r="R468" s="306">
        <f t="shared" ca="1" si="223"/>
        <v>3.0807334044136055E-2</v>
      </c>
      <c r="S468" s="307">
        <f t="shared" ca="1" si="224"/>
        <v>10.638863106285472</v>
      </c>
      <c r="T468" s="304">
        <f t="shared" ca="1" si="204"/>
        <v>104.36724707266048</v>
      </c>
      <c r="U468" s="311">
        <f t="shared" ca="1" si="205"/>
        <v>0</v>
      </c>
      <c r="V468" s="306">
        <f t="shared" ca="1" si="206"/>
        <v>1.146399439718216</v>
      </c>
      <c r="W468" s="304">
        <f t="shared" ca="1" si="207"/>
        <v>242.14049553768433</v>
      </c>
      <c r="Y468" s="314" t="str">
        <f t="shared" ca="1" si="225"/>
        <v/>
      </c>
      <c r="Z468" s="315" t="str">
        <f t="shared" ca="1" si="226"/>
        <v/>
      </c>
      <c r="AA468" s="316" t="str">
        <f t="shared" ca="1" si="227"/>
        <v/>
      </c>
      <c r="AC468" s="310" t="e">
        <f t="shared" ca="1" si="228"/>
        <v>#N/A</v>
      </c>
      <c r="AD468" s="323" t="e">
        <f t="shared" ca="1" si="229"/>
        <v>#N/A</v>
      </c>
      <c r="AE468" s="324">
        <f t="shared" ca="1" si="208"/>
        <v>662.90443495359671</v>
      </c>
      <c r="AG468" s="306">
        <f t="shared" ca="1" si="230"/>
        <v>-26.771059652050127</v>
      </c>
      <c r="AH468" s="304">
        <f t="shared" ca="1" si="231"/>
        <v>-17.038504411363164</v>
      </c>
    </row>
    <row r="469" spans="1:34" x14ac:dyDescent="0.25">
      <c r="A469" s="347">
        <f t="shared" ca="1" si="209"/>
        <v>0.01</v>
      </c>
      <c r="B469" s="304">
        <f t="shared" ca="1" si="210"/>
        <v>4.6499999999999453</v>
      </c>
      <c r="D469" s="306">
        <f t="shared" ca="1" si="211"/>
        <v>-2.1821689717831321</v>
      </c>
      <c r="E469" s="307">
        <f t="shared" ca="1" si="212"/>
        <v>-27.065919738815161</v>
      </c>
      <c r="F469" s="304">
        <f t="shared" ca="1" si="213"/>
        <v>27.153745095831574</v>
      </c>
      <c r="G469" s="306">
        <f t="shared" ca="1" si="214"/>
        <v>28.261266383709529</v>
      </c>
      <c r="H469" s="307">
        <f t="shared" ca="1" si="215"/>
        <v>223.38328514501472</v>
      </c>
      <c r="I469" s="304">
        <f t="shared" ca="1" si="216"/>
        <v>225.16392086608803</v>
      </c>
      <c r="J469" s="306">
        <f t="shared" ca="1" si="217"/>
        <v>77.278407454569745</v>
      </c>
      <c r="K469" s="307">
        <f t="shared" ca="1" si="218"/>
        <v>665.13962110103375</v>
      </c>
      <c r="L469" s="304">
        <f t="shared" ca="1" si="203"/>
        <v>669.61381991200062</v>
      </c>
      <c r="M469" s="306">
        <f t="shared" ca="1" si="219"/>
        <v>1.4449502272835268</v>
      </c>
      <c r="N469" s="304">
        <f t="shared" ca="1" si="220"/>
        <v>82.789549629815141</v>
      </c>
      <c r="P469" s="310">
        <f t="shared" ca="1" si="221"/>
        <v>20</v>
      </c>
      <c r="Q469" s="304">
        <f t="shared" ca="1" si="222"/>
        <v>57.100000000024153</v>
      </c>
      <c r="R469" s="306">
        <f t="shared" ca="1" si="223"/>
        <v>2.8603232096263843E-2</v>
      </c>
      <c r="S469" s="307">
        <f t="shared" ca="1" si="224"/>
        <v>10.638577073964509</v>
      </c>
      <c r="T469" s="304">
        <f t="shared" ca="1" si="204"/>
        <v>104.36444109559184</v>
      </c>
      <c r="U469" s="311">
        <f t="shared" ca="1" si="205"/>
        <v>0</v>
      </c>
      <c r="V469" s="306">
        <f t="shared" ca="1" si="206"/>
        <v>1.1461429440315245</v>
      </c>
      <c r="W469" s="304">
        <f t="shared" ca="1" si="207"/>
        <v>241.50408194099006</v>
      </c>
      <c r="Y469" s="314" t="str">
        <f t="shared" ca="1" si="225"/>
        <v/>
      </c>
      <c r="Z469" s="315" t="str">
        <f t="shared" ca="1" si="226"/>
        <v/>
      </c>
      <c r="AA469" s="316" t="str">
        <f t="shared" ca="1" si="227"/>
        <v/>
      </c>
      <c r="AC469" s="310" t="e">
        <f t="shared" ca="1" si="228"/>
        <v>#N/A</v>
      </c>
      <c r="AD469" s="323" t="e">
        <f t="shared" ca="1" si="229"/>
        <v>#N/A</v>
      </c>
      <c r="AE469" s="324">
        <f t="shared" ca="1" si="208"/>
        <v>665.13962110103375</v>
      </c>
      <c r="AG469" s="306">
        <f t="shared" ca="1" si="230"/>
        <v>-27.12583818366765</v>
      </c>
      <c r="AH469" s="304">
        <f t="shared" ca="1" si="231"/>
        <v>-17.393350092890202</v>
      </c>
    </row>
    <row r="470" spans="1:34" x14ac:dyDescent="0.25">
      <c r="A470" s="347">
        <f t="shared" ca="1" si="209"/>
        <v>0.01</v>
      </c>
      <c r="B470" s="304">
        <f t="shared" ca="1" si="210"/>
        <v>4.6599999999999451</v>
      </c>
      <c r="D470" s="306">
        <f t="shared" ca="1" si="211"/>
        <v>-2.2449713058392131</v>
      </c>
      <c r="E470" s="307">
        <f t="shared" ca="1" si="212"/>
        <v>-27.554748538364414</v>
      </c>
      <c r="F470" s="304">
        <f t="shared" ca="1" si="213"/>
        <v>27.646049684838108</v>
      </c>
      <c r="G470" s="306">
        <f t="shared" ca="1" si="214"/>
        <v>28.238816670651136</v>
      </c>
      <c r="H470" s="307">
        <f t="shared" ca="1" si="215"/>
        <v>223.10773765963108</v>
      </c>
      <c r="I470" s="304">
        <f t="shared" ca="1" si="216"/>
        <v>224.8877350380794</v>
      </c>
      <c r="J470" s="306">
        <f t="shared" ca="1" si="217"/>
        <v>77.560907869841543</v>
      </c>
      <c r="K470" s="307">
        <f t="shared" ca="1" si="218"/>
        <v>667.37207621505695</v>
      </c>
      <c r="L470" s="304">
        <f t="shared" ca="1" si="203"/>
        <v>671.86396133532105</v>
      </c>
      <c r="M470" s="306">
        <f t="shared" ca="1" si="219"/>
        <v>1.4448954757795753</v>
      </c>
      <c r="N470" s="304">
        <f t="shared" ca="1" si="220"/>
        <v>82.786412599716726</v>
      </c>
      <c r="P470" s="310">
        <f t="shared" ca="1" si="221"/>
        <v>21</v>
      </c>
      <c r="Q470" s="304">
        <f t="shared" ca="1" si="222"/>
        <v>51.225000000040474</v>
      </c>
      <c r="R470" s="306">
        <f t="shared" ca="1" si="223"/>
        <v>2.5660255063601634E-2</v>
      </c>
      <c r="S470" s="307">
        <f t="shared" ca="1" si="224"/>
        <v>10.638320471413873</v>
      </c>
      <c r="T470" s="304">
        <f t="shared" ca="1" si="204"/>
        <v>104.3619238245701</v>
      </c>
      <c r="U470" s="311">
        <f t="shared" ca="1" si="205"/>
        <v>0</v>
      </c>
      <c r="V470" s="306">
        <f t="shared" ca="1" si="206"/>
        <v>1.1458868171194061</v>
      </c>
      <c r="W470" s="304">
        <f t="shared" ca="1" si="207"/>
        <v>240.85815173521854</v>
      </c>
      <c r="Y470" s="314" t="str">
        <f t="shared" ca="1" si="225"/>
        <v/>
      </c>
      <c r="Z470" s="315" t="str">
        <f t="shared" ca="1" si="226"/>
        <v/>
      </c>
      <c r="AA470" s="316" t="str">
        <f t="shared" ca="1" si="227"/>
        <v/>
      </c>
      <c r="AC470" s="310" t="e">
        <f t="shared" ca="1" si="228"/>
        <v>#N/A</v>
      </c>
      <c r="AD470" s="323" t="e">
        <f t="shared" ca="1" si="229"/>
        <v>#N/A</v>
      </c>
      <c r="AE470" s="324">
        <f t="shared" ca="1" si="208"/>
        <v>667.37207621505695</v>
      </c>
      <c r="AG470" s="306">
        <f t="shared" ca="1" si="230"/>
        <v>-27.618616508464541</v>
      </c>
      <c r="AH470" s="304">
        <f t="shared" ca="1" si="231"/>
        <v>-17.886195706572916</v>
      </c>
    </row>
    <row r="471" spans="1:34" x14ac:dyDescent="0.25">
      <c r="A471" s="347">
        <f t="shared" ca="1" si="209"/>
        <v>0.01</v>
      </c>
      <c r="B471" s="304">
        <f t="shared" ca="1" si="210"/>
        <v>4.6699999999999449</v>
      </c>
      <c r="D471" s="306">
        <f t="shared" ca="1" si="211"/>
        <v>-2.3251218042469919</v>
      </c>
      <c r="E471" s="307">
        <f t="shared" ca="1" si="212"/>
        <v>-28.18019842505548</v>
      </c>
      <c r="F471" s="304">
        <f t="shared" ca="1" si="213"/>
        <v>28.275957537810882</v>
      </c>
      <c r="G471" s="306">
        <f t="shared" ca="1" si="214"/>
        <v>28.215565452608665</v>
      </c>
      <c r="H471" s="307">
        <f t="shared" ca="1" si="215"/>
        <v>222.82593567538052</v>
      </c>
      <c r="I471" s="304">
        <f t="shared" ca="1" si="216"/>
        <v>224.60524424736673</v>
      </c>
      <c r="J471" s="306">
        <f t="shared" ca="1" si="217"/>
        <v>77.843179780457845</v>
      </c>
      <c r="K471" s="307">
        <f t="shared" ca="1" si="218"/>
        <v>669.60174458173196</v>
      </c>
      <c r="L471" s="304">
        <f t="shared" ca="1" si="203"/>
        <v>674.11130904712741</v>
      </c>
      <c r="M471" s="306">
        <f t="shared" ca="1" si="219"/>
        <v>1.4448406316890769</v>
      </c>
      <c r="N471" s="304">
        <f t="shared" ca="1" si="220"/>
        <v>82.783270264799938</v>
      </c>
      <c r="P471" s="310">
        <f t="shared" ca="1" si="221"/>
        <v>21</v>
      </c>
      <c r="Q471" s="304">
        <f t="shared" ca="1" si="222"/>
        <v>43.875000000040473</v>
      </c>
      <c r="R471" s="306">
        <f t="shared" ca="1" si="223"/>
        <v>2.1978402946133152E-2</v>
      </c>
      <c r="S471" s="307">
        <f t="shared" ca="1" si="224"/>
        <v>10.638100687384412</v>
      </c>
      <c r="T471" s="304">
        <f t="shared" ca="1" si="204"/>
        <v>104.35976774324109</v>
      </c>
      <c r="U471" s="311">
        <f t="shared" ca="1" si="205"/>
        <v>0</v>
      </c>
      <c r="V471" s="306">
        <f t="shared" ca="1" si="206"/>
        <v>1.14563106515077</v>
      </c>
      <c r="W471" s="304">
        <f t="shared" ca="1" si="207"/>
        <v>240.19980552410149</v>
      </c>
      <c r="Y471" s="314" t="str">
        <f t="shared" ca="1" si="225"/>
        <v/>
      </c>
      <c r="Z471" s="315" t="str">
        <f t="shared" ca="1" si="226"/>
        <v/>
      </c>
      <c r="AA471" s="316" t="str">
        <f t="shared" ca="1" si="227"/>
        <v/>
      </c>
      <c r="AC471" s="310" t="e">
        <f t="shared" ca="1" si="228"/>
        <v>#N/A</v>
      </c>
      <c r="AD471" s="323" t="e">
        <f t="shared" ca="1" si="229"/>
        <v>#N/A</v>
      </c>
      <c r="AE471" s="324">
        <f t="shared" ca="1" si="208"/>
        <v>669.60174458173196</v>
      </c>
      <c r="AG471" s="306">
        <f t="shared" ca="1" si="230"/>
        <v>-28.249112850485076</v>
      </c>
      <c r="AH471" s="304">
        <f t="shared" ca="1" si="231"/>
        <v>-18.516759478388643</v>
      </c>
    </row>
    <row r="472" spans="1:34" x14ac:dyDescent="0.25">
      <c r="A472" s="347">
        <f t="shared" ca="1" si="209"/>
        <v>0.01</v>
      </c>
      <c r="B472" s="304">
        <f t="shared" ca="1" si="210"/>
        <v>4.6799999999999446</v>
      </c>
      <c r="D472" s="306">
        <f t="shared" ca="1" si="211"/>
        <v>-2.5991332118719983</v>
      </c>
      <c r="E472" s="307">
        <f t="shared" ca="1" si="212"/>
        <v>-30.336056472378424</v>
      </c>
      <c r="F472" s="304">
        <f t="shared" ca="1" si="213"/>
        <v>30.447197173933578</v>
      </c>
      <c r="G472" s="306">
        <f t="shared" ca="1" si="214"/>
        <v>28.189574120489944</v>
      </c>
      <c r="H472" s="307">
        <f t="shared" ca="1" si="215"/>
        <v>222.52257511065673</v>
      </c>
      <c r="I472" s="304">
        <f t="shared" ca="1" si="216"/>
        <v>224.30102211753842</v>
      </c>
      <c r="J472" s="306">
        <f t="shared" ca="1" si="217"/>
        <v>78.125205478323338</v>
      </c>
      <c r="K472" s="307">
        <f t="shared" ca="1" si="218"/>
        <v>671.82848713566216</v>
      </c>
      <c r="L472" s="304">
        <f t="shared" ca="1" si="203"/>
        <v>676.35572286927743</v>
      </c>
      <c r="M472" s="306">
        <f t="shared" ca="1" si="219"/>
        <v>1.4447856894162876</v>
      </c>
      <c r="N472" s="304">
        <f t="shared" ca="1" si="220"/>
        <v>82.780122304452249</v>
      </c>
      <c r="P472" s="310">
        <f t="shared" ca="1" si="221"/>
        <v>22</v>
      </c>
      <c r="Q472" s="304">
        <f t="shared" ca="1" si="222"/>
        <v>20.100000000221371</v>
      </c>
      <c r="R472" s="306">
        <f t="shared" ca="1" si="223"/>
        <v>1.0068738443800211E-2</v>
      </c>
      <c r="S472" s="307">
        <f t="shared" ca="1" si="224"/>
        <v>10.637999999999975</v>
      </c>
      <c r="T472" s="304">
        <f t="shared" ca="1" si="204"/>
        <v>104.35877999999975</v>
      </c>
      <c r="U472" s="311">
        <f t="shared" ca="1" si="205"/>
        <v>0</v>
      </c>
      <c r="V472" s="306">
        <f t="shared" ca="1" si="206"/>
        <v>1.1453757038470647</v>
      </c>
      <c r="W472" s="304">
        <f t="shared" ca="1" si="207"/>
        <v>239.49616143138908</v>
      </c>
      <c r="Y472" s="314" t="str">
        <f t="shared" ca="1" si="225"/>
        <v/>
      </c>
      <c r="Z472" s="315" t="str">
        <f t="shared" ca="1" si="226"/>
        <v/>
      </c>
      <c r="AA472" s="316" t="str">
        <f t="shared" ca="1" si="227"/>
        <v/>
      </c>
      <c r="AC472" s="310" t="e">
        <f t="shared" ca="1" si="228"/>
        <v>#N/A</v>
      </c>
      <c r="AD472" s="323" t="e">
        <f t="shared" ca="1" si="229"/>
        <v>#N/A</v>
      </c>
      <c r="AE472" s="324">
        <f t="shared" ca="1" si="208"/>
        <v>671.82848713566216</v>
      </c>
      <c r="AG472" s="306">
        <f t="shared" ca="1" si="230"/>
        <v>-30.422246837180154</v>
      </c>
      <c r="AH472" s="304">
        <f t="shared" ca="1" si="231"/>
        <v>-20.689961038153847</v>
      </c>
    </row>
    <row r="473" spans="1:34" x14ac:dyDescent="0.25">
      <c r="A473" s="347">
        <f t="shared" ca="1" si="209"/>
        <v>0.01</v>
      </c>
      <c r="B473" s="304">
        <f t="shared" ca="1" si="210"/>
        <v>4.6899999999999444</v>
      </c>
      <c r="D473" s="306">
        <f t="shared" ca="1" si="211"/>
        <v>-2.8294096681901526</v>
      </c>
      <c r="E473" s="307">
        <f t="shared" ca="1" si="212"/>
        <v>-32.144765424888881</v>
      </c>
      <c r="F473" s="304">
        <f t="shared" ca="1" si="213"/>
        <v>32.269048688977172</v>
      </c>
      <c r="G473" s="306">
        <f t="shared" ca="1" si="214"/>
        <v>28.161280023808043</v>
      </c>
      <c r="H473" s="307">
        <f t="shared" ca="1" si="215"/>
        <v>222.20112745640785</v>
      </c>
      <c r="I473" s="304">
        <f t="shared" ca="1" si="216"/>
        <v>223.97856758064628</v>
      </c>
      <c r="J473" s="306">
        <f t="shared" ca="1" si="217"/>
        <v>78.40695974904483</v>
      </c>
      <c r="K473" s="307">
        <f t="shared" ca="1" si="218"/>
        <v>674.05210564849745</v>
      </c>
      <c r="L473" s="304">
        <f t="shared" ca="1" si="203"/>
        <v>678.59700298944847</v>
      </c>
      <c r="M473" s="306">
        <f t="shared" ca="1" si="219"/>
        <v>1.4447306441715675</v>
      </c>
      <c r="N473" s="304">
        <f t="shared" ca="1" si="220"/>
        <v>82.77696844424753</v>
      </c>
      <c r="P473" s="310">
        <f t="shared" ca="1" si="221"/>
        <v>23</v>
      </c>
      <c r="Q473" s="304">
        <f t="shared" ca="1" si="222"/>
        <v>0</v>
      </c>
      <c r="R473" s="306">
        <f t="shared" ca="1" si="223"/>
        <v>0</v>
      </c>
      <c r="S473" s="307">
        <f t="shared" ca="1" si="224"/>
        <v>10.637999999999975</v>
      </c>
      <c r="T473" s="304">
        <f t="shared" ca="1" si="204"/>
        <v>104.35877999999975</v>
      </c>
      <c r="U473" s="311">
        <f t="shared" ca="1" si="205"/>
        <v>0</v>
      </c>
      <c r="V473" s="306">
        <f t="shared" ca="1" si="206"/>
        <v>1.1451207556989942</v>
      </c>
      <c r="W473" s="304">
        <f t="shared" ca="1" si="207"/>
        <v>238.75490226839429</v>
      </c>
      <c r="Y473" s="314" t="str">
        <f t="shared" ca="1" si="225"/>
        <v>Fin de propulsion</v>
      </c>
      <c r="Z473" s="315" t="str">
        <f t="shared" ca="1" si="226"/>
        <v/>
      </c>
      <c r="AA473" s="316" t="str">
        <f t="shared" ca="1" si="227"/>
        <v/>
      </c>
      <c r="AC473" s="310" t="e">
        <f t="shared" ca="1" si="228"/>
        <v>#N/A</v>
      </c>
      <c r="AD473" s="323" t="e">
        <f t="shared" ca="1" si="229"/>
        <v>#N/A</v>
      </c>
      <c r="AE473" s="324">
        <f t="shared" ca="1" si="208"/>
        <v>674.05210564849745</v>
      </c>
      <c r="AG473" s="306">
        <f t="shared" ca="1" si="230"/>
        <v>-32.245487621732153</v>
      </c>
      <c r="AH473" s="304">
        <f t="shared" ca="1" si="231"/>
        <v>-22.513269546097916</v>
      </c>
    </row>
    <row r="474" spans="1:34" x14ac:dyDescent="0.25">
      <c r="A474" s="347">
        <f t="shared" ca="1" si="209"/>
        <v>0.01</v>
      </c>
      <c r="B474" s="304">
        <f t="shared" ca="1" si="210"/>
        <v>4.6999999999999442</v>
      </c>
      <c r="D474" s="306">
        <f t="shared" ca="1" si="211"/>
        <v>-2.8218780393921143</v>
      </c>
      <c r="E474" s="307">
        <f t="shared" ca="1" si="212"/>
        <v>-32.075482299359535</v>
      </c>
      <c r="F474" s="304">
        <f t="shared" ca="1" si="213"/>
        <v>32.199372049866604</v>
      </c>
      <c r="G474" s="306">
        <f t="shared" ca="1" si="214"/>
        <v>28.133061243414122</v>
      </c>
      <c r="H474" s="307">
        <f t="shared" ca="1" si="215"/>
        <v>221.88037263341425</v>
      </c>
      <c r="I474" s="304">
        <f t="shared" ca="1" si="216"/>
        <v>223.65681052645917</v>
      </c>
      <c r="J474" s="306">
        <f t="shared" ca="1" si="217"/>
        <v>78.688431455380936</v>
      </c>
      <c r="K474" s="307">
        <f t="shared" ca="1" si="218"/>
        <v>676.27251314894659</v>
      </c>
      <c r="L474" s="304">
        <f t="shared" ca="1" si="203"/>
        <v>680.83506173353055</v>
      </c>
      <c r="M474" s="306">
        <f t="shared" ca="1" si="219"/>
        <v>1.4446754957853409</v>
      </c>
      <c r="N474" s="304">
        <f t="shared" ca="1" si="220"/>
        <v>82.773808674469791</v>
      </c>
      <c r="P474" s="310">
        <f t="shared" ca="1" si="221"/>
        <v>23</v>
      </c>
      <c r="Q474" s="304">
        <f t="shared" ca="1" si="222"/>
        <v>0</v>
      </c>
      <c r="R474" s="306">
        <f t="shared" ca="1" si="223"/>
        <v>0</v>
      </c>
      <c r="S474" s="307">
        <f t="shared" ca="1" si="224"/>
        <v>10.637999999999975</v>
      </c>
      <c r="T474" s="304">
        <f t="shared" ca="1" si="204"/>
        <v>104.35877999999975</v>
      </c>
      <c r="U474" s="311">
        <f t="shared" ca="1" si="205"/>
        <v>0</v>
      </c>
      <c r="V474" s="306">
        <f t="shared" ca="1" si="206"/>
        <v>1.1448662304261448</v>
      </c>
      <c r="W474" s="304">
        <f t="shared" ca="1" si="207"/>
        <v>238.01651136035937</v>
      </c>
      <c r="Y474" s="314" t="str">
        <f t="shared" ca="1" si="225"/>
        <v/>
      </c>
      <c r="Z474" s="315" t="str">
        <f t="shared" ca="1" si="226"/>
        <v/>
      </c>
      <c r="AA474" s="316" t="str">
        <f t="shared" ca="1" si="227"/>
        <v/>
      </c>
      <c r="AC474" s="310" t="e">
        <f t="shared" ca="1" si="228"/>
        <v>#N/A</v>
      </c>
      <c r="AD474" s="323" t="e">
        <f t="shared" ca="1" si="229"/>
        <v>#N/A</v>
      </c>
      <c r="AE474" s="324">
        <f t="shared" ca="1" si="208"/>
        <v>676.27251314894659</v>
      </c>
      <c r="AG474" s="306">
        <f t="shared" ca="1" si="230"/>
        <v>-32.17573942958289</v>
      </c>
      <c r="AH474" s="304">
        <f t="shared" ca="1" si="231"/>
        <v>-22.443589233727661</v>
      </c>
    </row>
    <row r="475" spans="1:34" x14ac:dyDescent="0.25">
      <c r="A475" s="347">
        <f t="shared" ca="1" si="209"/>
        <v>0.01</v>
      </c>
      <c r="B475" s="304">
        <f t="shared" ca="1" si="210"/>
        <v>4.709999999999944</v>
      </c>
      <c r="D475" s="306">
        <f t="shared" ca="1" si="211"/>
        <v>-2.8143749961932438</v>
      </c>
      <c r="E475" s="307">
        <f t="shared" ca="1" si="212"/>
        <v>-32.006467262577203</v>
      </c>
      <c r="F475" s="304">
        <f t="shared" ca="1" si="213"/>
        <v>32.129965036545308</v>
      </c>
      <c r="G475" s="306">
        <f t="shared" ca="1" si="214"/>
        <v>28.104917493452191</v>
      </c>
      <c r="H475" s="307">
        <f t="shared" ca="1" si="215"/>
        <v>221.56030796078849</v>
      </c>
      <c r="I475" s="304">
        <f t="shared" ca="1" si="216"/>
        <v>223.33574826031142</v>
      </c>
      <c r="J475" s="306">
        <f t="shared" ca="1" si="217"/>
        <v>78.969621349065264</v>
      </c>
      <c r="K475" s="307">
        <f t="shared" ca="1" si="218"/>
        <v>678.48971655191758</v>
      </c>
      <c r="L475" s="304">
        <f t="shared" ca="1" si="203"/>
        <v>683.06990605846204</v>
      </c>
      <c r="M475" s="306">
        <f t="shared" ca="1" si="219"/>
        <v>1.4446202440875258</v>
      </c>
      <c r="N475" s="304">
        <f t="shared" ca="1" si="220"/>
        <v>82.770642985374039</v>
      </c>
      <c r="P475" s="310">
        <f t="shared" ca="1" si="221"/>
        <v>23</v>
      </c>
      <c r="Q475" s="304">
        <f t="shared" ca="1" si="222"/>
        <v>0</v>
      </c>
      <c r="R475" s="306">
        <f t="shared" ca="1" si="223"/>
        <v>0</v>
      </c>
      <c r="S475" s="307">
        <f t="shared" ca="1" si="224"/>
        <v>10.637999999999975</v>
      </c>
      <c r="T475" s="304">
        <f t="shared" ca="1" si="204"/>
        <v>104.35877999999975</v>
      </c>
      <c r="U475" s="311">
        <f t="shared" ca="1" si="205"/>
        <v>0</v>
      </c>
      <c r="V475" s="306">
        <f t="shared" ca="1" si="206"/>
        <v>1.1446121269813228</v>
      </c>
      <c r="W475" s="304">
        <f t="shared" ca="1" si="207"/>
        <v>237.28097394929881</v>
      </c>
      <c r="Y475" s="314" t="str">
        <f t="shared" ca="1" si="225"/>
        <v/>
      </c>
      <c r="Z475" s="315" t="str">
        <f t="shared" ca="1" si="226"/>
        <v/>
      </c>
      <c r="AA475" s="316" t="str">
        <f t="shared" ca="1" si="227"/>
        <v/>
      </c>
      <c r="AC475" s="310" t="e">
        <f t="shared" ca="1" si="228"/>
        <v>#N/A</v>
      </c>
      <c r="AD475" s="323" t="e">
        <f t="shared" ca="1" si="229"/>
        <v>#N/A</v>
      </c>
      <c r="AE475" s="324">
        <f t="shared" ca="1" si="208"/>
        <v>678.48971655191758</v>
      </c>
      <c r="AG475" s="306">
        <f t="shared" ca="1" si="230"/>
        <v>-32.106260704187846</v>
      </c>
      <c r="AH475" s="304">
        <f t="shared" ca="1" si="231"/>
        <v>-22.374178544873089</v>
      </c>
    </row>
    <row r="476" spans="1:34" x14ac:dyDescent="0.25">
      <c r="A476" s="347">
        <f t="shared" ca="1" si="209"/>
        <v>0.01</v>
      </c>
      <c r="B476" s="304">
        <f t="shared" ca="1" si="210"/>
        <v>4.7199999999999438</v>
      </c>
      <c r="D476" s="306">
        <f t="shared" ca="1" si="211"/>
        <v>-2.8069003907531327</v>
      </c>
      <c r="E476" s="307">
        <f t="shared" ca="1" si="212"/>
        <v>-31.937718935143984</v>
      </c>
      <c r="F476" s="304">
        <f t="shared" ca="1" si="213"/>
        <v>32.060826261714851</v>
      </c>
      <c r="G476" s="306">
        <f t="shared" ca="1" si="214"/>
        <v>28.076848489544659</v>
      </c>
      <c r="H476" s="307">
        <f t="shared" ca="1" si="215"/>
        <v>221.24093077143706</v>
      </c>
      <c r="I476" s="304">
        <f t="shared" ca="1" si="216"/>
        <v>223.015378101414</v>
      </c>
      <c r="J476" s="306">
        <f t="shared" ca="1" si="217"/>
        <v>79.250530178980242</v>
      </c>
      <c r="K476" s="307">
        <f t="shared" ca="1" si="218"/>
        <v>680.70372274557872</v>
      </c>
      <c r="L476" s="304">
        <f t="shared" ca="1" si="203"/>
        <v>685.30154289432267</v>
      </c>
      <c r="M476" s="306">
        <f t="shared" ca="1" si="219"/>
        <v>1.4445648889075329</v>
      </c>
      <c r="N476" s="304">
        <f t="shared" ca="1" si="220"/>
        <v>82.767471367186261</v>
      </c>
      <c r="P476" s="310">
        <f t="shared" ca="1" si="221"/>
        <v>23</v>
      </c>
      <c r="Q476" s="304">
        <f t="shared" ca="1" si="222"/>
        <v>0</v>
      </c>
      <c r="R476" s="306">
        <f t="shared" ca="1" si="223"/>
        <v>0</v>
      </c>
      <c r="S476" s="307">
        <f t="shared" ca="1" si="224"/>
        <v>10.637999999999975</v>
      </c>
      <c r="T476" s="304">
        <f t="shared" ca="1" si="204"/>
        <v>104.35877999999975</v>
      </c>
      <c r="U476" s="311">
        <f t="shared" ca="1" si="205"/>
        <v>0</v>
      </c>
      <c r="V476" s="306">
        <f t="shared" ca="1" si="206"/>
        <v>1.1443584443215811</v>
      </c>
      <c r="W476" s="304">
        <f t="shared" ca="1" si="207"/>
        <v>236.54827537299843</v>
      </c>
      <c r="Y476" s="314" t="str">
        <f t="shared" ca="1" si="225"/>
        <v/>
      </c>
      <c r="Z476" s="315" t="str">
        <f t="shared" ca="1" si="226"/>
        <v/>
      </c>
      <c r="AA476" s="316" t="str">
        <f t="shared" ca="1" si="227"/>
        <v/>
      </c>
      <c r="AC476" s="310" t="e">
        <f t="shared" ca="1" si="228"/>
        <v>#N/A</v>
      </c>
      <c r="AD476" s="323" t="e">
        <f t="shared" ca="1" si="229"/>
        <v>#N/A</v>
      </c>
      <c r="AE476" s="324">
        <f t="shared" ca="1" si="208"/>
        <v>680.70372274557872</v>
      </c>
      <c r="AG476" s="306">
        <f t="shared" ca="1" si="230"/>
        <v>-32.0370500578817</v>
      </c>
      <c r="AH476" s="304">
        <f t="shared" ca="1" si="231"/>
        <v>-22.305036092244723</v>
      </c>
    </row>
    <row r="477" spans="1:34" x14ac:dyDescent="0.25">
      <c r="A477" s="347">
        <f t="shared" ca="1" si="209"/>
        <v>0.01</v>
      </c>
      <c r="B477" s="304">
        <f t="shared" ca="1" si="210"/>
        <v>4.7299999999999436</v>
      </c>
      <c r="D477" s="306">
        <f t="shared" ca="1" si="211"/>
        <v>-2.7994540761900701</v>
      </c>
      <c r="E477" s="307">
        <f t="shared" ca="1" si="212"/>
        <v>-31.869235946613507</v>
      </c>
      <c r="F477" s="304">
        <f t="shared" ca="1" si="213"/>
        <v>31.991954347079513</v>
      </c>
      <c r="G477" s="306">
        <f t="shared" ca="1" si="214"/>
        <v>28.048853948782757</v>
      </c>
      <c r="H477" s="307">
        <f t="shared" ca="1" si="215"/>
        <v>220.92223841197094</v>
      </c>
      <c r="I477" s="304">
        <f t="shared" ca="1" si="216"/>
        <v>222.69569738276462</v>
      </c>
      <c r="J477" s="306">
        <f t="shared" ca="1" si="217"/>
        <v>79.531158691171882</v>
      </c>
      <c r="K477" s="307">
        <f t="shared" ca="1" si="218"/>
        <v>682.91453859149578</v>
      </c>
      <c r="L477" s="304">
        <f t="shared" ca="1" si="203"/>
        <v>687.52997914447042</v>
      </c>
      <c r="M477" s="306">
        <f t="shared" ca="1" si="219"/>
        <v>1.4445094300742636</v>
      </c>
      <c r="N477" s="304">
        <f t="shared" ca="1" si="220"/>
        <v>82.764293810103212</v>
      </c>
      <c r="P477" s="310">
        <f t="shared" ca="1" si="221"/>
        <v>23</v>
      </c>
      <c r="Q477" s="304">
        <f t="shared" ca="1" si="222"/>
        <v>0</v>
      </c>
      <c r="R477" s="306">
        <f t="shared" ca="1" si="223"/>
        <v>0</v>
      </c>
      <c r="S477" s="307">
        <f t="shared" ca="1" si="224"/>
        <v>10.637999999999975</v>
      </c>
      <c r="T477" s="304">
        <f t="shared" ca="1" si="204"/>
        <v>104.35877999999975</v>
      </c>
      <c r="U477" s="311">
        <f t="shared" ca="1" si="205"/>
        <v>0</v>
      </c>
      <c r="V477" s="306">
        <f t="shared" ca="1" si="206"/>
        <v>1.1441051814081951</v>
      </c>
      <c r="W477" s="304">
        <f t="shared" ca="1" si="207"/>
        <v>235.81840106426765</v>
      </c>
      <c r="Y477" s="314" t="str">
        <f t="shared" ca="1" si="225"/>
        <v/>
      </c>
      <c r="Z477" s="315" t="str">
        <f t="shared" ca="1" si="226"/>
        <v/>
      </c>
      <c r="AA477" s="316" t="str">
        <f t="shared" ca="1" si="227"/>
        <v/>
      </c>
      <c r="AC477" s="310" t="e">
        <f t="shared" ca="1" si="228"/>
        <v>#N/A</v>
      </c>
      <c r="AD477" s="323" t="e">
        <f t="shared" ca="1" si="229"/>
        <v>#N/A</v>
      </c>
      <c r="AE477" s="324">
        <f t="shared" ca="1" si="208"/>
        <v>682.91453859149578</v>
      </c>
      <c r="AG477" s="306">
        <f t="shared" ca="1" si="230"/>
        <v>-31.968106112000601</v>
      </c>
      <c r="AH477" s="304">
        <f t="shared" ca="1" si="231"/>
        <v>-22.236160497555836</v>
      </c>
    </row>
    <row r="478" spans="1:34" x14ac:dyDescent="0.25">
      <c r="A478" s="347">
        <f t="shared" ca="1" si="209"/>
        <v>0.01</v>
      </c>
      <c r="B478" s="304">
        <f t="shared" ca="1" si="210"/>
        <v>4.7399999999999434</v>
      </c>
      <c r="D478" s="306">
        <f t="shared" ca="1" si="211"/>
        <v>-2.792035906573584</v>
      </c>
      <c r="E478" s="307">
        <f t="shared" ca="1" si="212"/>
        <v>-31.801016935421046</v>
      </c>
      <c r="F478" s="304">
        <f t="shared" ca="1" si="213"/>
        <v>31.923347923276037</v>
      </c>
      <c r="G478" s="306">
        <f t="shared" ca="1" si="214"/>
        <v>28.020933589717021</v>
      </c>
      <c r="H478" s="307">
        <f t="shared" ca="1" si="215"/>
        <v>220.60422824261673</v>
      </c>
      <c r="I478" s="304">
        <f t="shared" ca="1" si="216"/>
        <v>222.37670345105818</v>
      </c>
      <c r="J478" s="306">
        <f t="shared" ca="1" si="217"/>
        <v>79.811507628864376</v>
      </c>
      <c r="K478" s="307">
        <f t="shared" ca="1" si="218"/>
        <v>685.12217092476874</v>
      </c>
      <c r="L478" s="304">
        <f t="shared" ca="1" si="203"/>
        <v>689.75522168567909</v>
      </c>
      <c r="M478" s="306">
        <f t="shared" ca="1" si="219"/>
        <v>1.4444538674161085</v>
      </c>
      <c r="N478" s="304">
        <f t="shared" ca="1" si="220"/>
        <v>82.761110304292401</v>
      </c>
      <c r="P478" s="310">
        <f t="shared" ca="1" si="221"/>
        <v>23</v>
      </c>
      <c r="Q478" s="304">
        <f t="shared" ca="1" si="222"/>
        <v>0</v>
      </c>
      <c r="R478" s="306">
        <f t="shared" ca="1" si="223"/>
        <v>0</v>
      </c>
      <c r="S478" s="307">
        <f t="shared" ca="1" si="224"/>
        <v>10.637999999999975</v>
      </c>
      <c r="T478" s="304">
        <f t="shared" ca="1" si="204"/>
        <v>104.35877999999975</v>
      </c>
      <c r="U478" s="311">
        <f t="shared" ca="1" si="205"/>
        <v>0</v>
      </c>
      <c r="V478" s="306">
        <f t="shared" ca="1" si="206"/>
        <v>1.1438523372066387</v>
      </c>
      <c r="W478" s="304">
        <f t="shared" ca="1" si="207"/>
        <v>235.09133655019747</v>
      </c>
      <c r="Y478" s="314" t="str">
        <f t="shared" ca="1" si="225"/>
        <v/>
      </c>
      <c r="Z478" s="315" t="str">
        <f t="shared" ca="1" si="226"/>
        <v/>
      </c>
      <c r="AA478" s="316" t="str">
        <f t="shared" ca="1" si="227"/>
        <v/>
      </c>
      <c r="AC478" s="310" t="e">
        <f t="shared" ca="1" si="228"/>
        <v>#N/A</v>
      </c>
      <c r="AD478" s="323" t="e">
        <f t="shared" ca="1" si="229"/>
        <v>#N/A</v>
      </c>
      <c r="AE478" s="324">
        <f t="shared" ca="1" si="208"/>
        <v>685.12217092476874</v>
      </c>
      <c r="AG478" s="306">
        <f t="shared" ca="1" si="230"/>
        <v>-31.899427496811853</v>
      </c>
      <c r="AH478" s="304">
        <f t="shared" ca="1" si="231"/>
        <v>-22.167550391452171</v>
      </c>
    </row>
    <row r="479" spans="1:34" x14ac:dyDescent="0.25">
      <c r="A479" s="347">
        <f t="shared" ca="1" si="209"/>
        <v>0.01</v>
      </c>
      <c r="B479" s="304">
        <f t="shared" ca="1" si="210"/>
        <v>4.7499999999999432</v>
      </c>
      <c r="D479" s="306">
        <f t="shared" ca="1" si="211"/>
        <v>-2.7846457369170015</v>
      </c>
      <c r="E479" s="307">
        <f t="shared" ca="1" si="212"/>
        <v>-31.73306054881418</v>
      </c>
      <c r="F479" s="304">
        <f t="shared" ca="1" si="213"/>
        <v>31.85500562980388</v>
      </c>
      <c r="G479" s="306">
        <f t="shared" ca="1" si="214"/>
        <v>27.993087132347853</v>
      </c>
      <c r="H479" s="307">
        <f t="shared" ca="1" si="215"/>
        <v>220.28689763712859</v>
      </c>
      <c r="I479" s="304">
        <f t="shared" ca="1" si="216"/>
        <v>222.05839366659839</v>
      </c>
      <c r="J479" s="306">
        <f t="shared" ca="1" si="217"/>
        <v>80.091577732474704</v>
      </c>
      <c r="K479" s="307">
        <f t="shared" ca="1" si="218"/>
        <v>687.32662655416743</v>
      </c>
      <c r="L479" s="304">
        <f t="shared" ca="1" si="203"/>
        <v>691.9772773682738</v>
      </c>
      <c r="M479" s="306">
        <f t="shared" ca="1" si="219"/>
        <v>1.4443982007609466</v>
      </c>
      <c r="N479" s="304">
        <f t="shared" ca="1" si="220"/>
        <v>82.757920839892009</v>
      </c>
      <c r="P479" s="310">
        <f t="shared" ca="1" si="221"/>
        <v>23</v>
      </c>
      <c r="Q479" s="304">
        <f t="shared" ca="1" si="222"/>
        <v>0</v>
      </c>
      <c r="R479" s="306">
        <f t="shared" ca="1" si="223"/>
        <v>0</v>
      </c>
      <c r="S479" s="307">
        <f t="shared" ca="1" si="224"/>
        <v>10.637999999999975</v>
      </c>
      <c r="T479" s="304">
        <f t="shared" ca="1" si="204"/>
        <v>104.35877999999975</v>
      </c>
      <c r="U479" s="311">
        <f t="shared" ca="1" si="205"/>
        <v>0</v>
      </c>
      <c r="V479" s="306">
        <f t="shared" ca="1" si="206"/>
        <v>1.1435999106865651</v>
      </c>
      <c r="W479" s="304">
        <f t="shared" ca="1" si="207"/>
        <v>234.36706745142735</v>
      </c>
      <c r="Y479" s="314" t="str">
        <f t="shared" ca="1" si="225"/>
        <v/>
      </c>
      <c r="Z479" s="315" t="str">
        <f t="shared" ca="1" si="226"/>
        <v/>
      </c>
      <c r="AA479" s="316" t="str">
        <f t="shared" ca="1" si="227"/>
        <v/>
      </c>
      <c r="AC479" s="310" t="e">
        <f t="shared" ca="1" si="228"/>
        <v>#N/A</v>
      </c>
      <c r="AD479" s="323" t="e">
        <f t="shared" ca="1" si="229"/>
        <v>#N/A</v>
      </c>
      <c r="AE479" s="324">
        <f t="shared" ca="1" si="208"/>
        <v>687.32662655416743</v>
      </c>
      <c r="AG479" s="306">
        <f t="shared" ca="1" si="230"/>
        <v>-31.831012851444164</v>
      </c>
      <c r="AH479" s="304">
        <f t="shared" ca="1" si="231"/>
        <v>-22.099204413442191</v>
      </c>
    </row>
    <row r="480" spans="1:34" x14ac:dyDescent="0.25">
      <c r="A480" s="347">
        <f t="shared" ca="1" si="209"/>
        <v>0.01</v>
      </c>
      <c r="B480" s="304">
        <f t="shared" ca="1" si="210"/>
        <v>4.7599999999999429</v>
      </c>
      <c r="D480" s="306">
        <f t="shared" ca="1" si="211"/>
        <v>-2.7772834231700951</v>
      </c>
      <c r="E480" s="307">
        <f t="shared" ca="1" si="212"/>
        <v>-31.665365442784271</v>
      </c>
      <c r="F480" s="304">
        <f t="shared" ca="1" si="213"/>
        <v>31.786926114956316</v>
      </c>
      <c r="G480" s="306">
        <f t="shared" ca="1" si="214"/>
        <v>27.965314298116152</v>
      </c>
      <c r="H480" s="307">
        <f t="shared" ca="1" si="215"/>
        <v>219.97024398270074</v>
      </c>
      <c r="I480" s="304">
        <f t="shared" ca="1" si="216"/>
        <v>221.74076540320976</v>
      </c>
      <c r="J480" s="306">
        <f t="shared" ca="1" si="217"/>
        <v>80.371369739627028</v>
      </c>
      <c r="K480" s="307">
        <f t="shared" ca="1" si="218"/>
        <v>689.52791226226657</v>
      </c>
      <c r="L480" s="304">
        <f t="shared" ca="1" si="203"/>
        <v>694.19615301626663</v>
      </c>
      <c r="M480" s="306">
        <f t="shared" ca="1" si="219"/>
        <v>1.4443424299361429</v>
      </c>
      <c r="N480" s="304">
        <f t="shared" ca="1" si="220"/>
        <v>82.754725407010795</v>
      </c>
      <c r="P480" s="310">
        <f t="shared" ca="1" si="221"/>
        <v>23</v>
      </c>
      <c r="Q480" s="304">
        <f t="shared" ca="1" si="222"/>
        <v>0</v>
      </c>
      <c r="R480" s="306">
        <f t="shared" ca="1" si="223"/>
        <v>0</v>
      </c>
      <c r="S480" s="307">
        <f t="shared" ca="1" si="224"/>
        <v>10.637999999999975</v>
      </c>
      <c r="T480" s="304">
        <f t="shared" ca="1" si="204"/>
        <v>104.35877999999975</v>
      </c>
      <c r="U480" s="311">
        <f t="shared" ca="1" si="205"/>
        <v>0</v>
      </c>
      <c r="V480" s="306">
        <f t="shared" ca="1" si="206"/>
        <v>1.1433479008217817</v>
      </c>
      <c r="W480" s="304">
        <f t="shared" ca="1" si="207"/>
        <v>233.6455794814168</v>
      </c>
      <c r="Y480" s="314" t="str">
        <f t="shared" ca="1" si="225"/>
        <v/>
      </c>
      <c r="Z480" s="315" t="str">
        <f t="shared" ca="1" si="226"/>
        <v/>
      </c>
      <c r="AA480" s="316" t="str">
        <f t="shared" ca="1" si="227"/>
        <v/>
      </c>
      <c r="AC480" s="310" t="e">
        <f t="shared" ca="1" si="228"/>
        <v>#N/A</v>
      </c>
      <c r="AD480" s="323" t="e">
        <f t="shared" ca="1" si="229"/>
        <v>#N/A</v>
      </c>
      <c r="AE480" s="324">
        <f t="shared" ca="1" si="208"/>
        <v>689.52791226226657</v>
      </c>
      <c r="AG480" s="306">
        <f t="shared" ca="1" si="230"/>
        <v>-31.762860823818723</v>
      </c>
      <c r="AH480" s="304">
        <f t="shared" ca="1" si="231"/>
        <v>-22.031121211828154</v>
      </c>
    </row>
    <row r="481" spans="1:34" x14ac:dyDescent="0.25">
      <c r="A481" s="347">
        <f t="shared" ca="1" si="209"/>
        <v>0.01</v>
      </c>
      <c r="B481" s="304">
        <f t="shared" ca="1" si="210"/>
        <v>4.7699999999999427</v>
      </c>
      <c r="D481" s="306">
        <f t="shared" ca="1" si="211"/>
        <v>-2.7699488222118123</v>
      </c>
      <c r="E481" s="307">
        <f t="shared" ca="1" si="212"/>
        <v>-31.597930281998366</v>
      </c>
      <c r="F481" s="304">
        <f t="shared" ca="1" si="213"/>
        <v>31.719108035751919</v>
      </c>
      <c r="G481" s="306">
        <f t="shared" ca="1" si="214"/>
        <v>27.937614809894033</v>
      </c>
      <c r="H481" s="307">
        <f t="shared" ca="1" si="215"/>
        <v>219.65426467988075</v>
      </c>
      <c r="I481" s="304">
        <f t="shared" ca="1" si="216"/>
        <v>221.42381604815034</v>
      </c>
      <c r="J481" s="306">
        <f t="shared" ca="1" si="217"/>
        <v>80.650884385167075</v>
      </c>
      <c r="K481" s="307">
        <f t="shared" ca="1" si="218"/>
        <v>691.7260348055795</v>
      </c>
      <c r="L481" s="304">
        <f t="shared" ca="1" si="203"/>
        <v>696.41185542749008</v>
      </c>
      <c r="M481" s="306">
        <f t="shared" ca="1" si="219"/>
        <v>1.4442865547685471</v>
      </c>
      <c r="N481" s="304">
        <f t="shared" ca="1" si="220"/>
        <v>82.751523995727965</v>
      </c>
      <c r="P481" s="310">
        <f t="shared" ca="1" si="221"/>
        <v>23</v>
      </c>
      <c r="Q481" s="304">
        <f t="shared" ca="1" si="222"/>
        <v>0</v>
      </c>
      <c r="R481" s="306">
        <f t="shared" ca="1" si="223"/>
        <v>0</v>
      </c>
      <c r="S481" s="307">
        <f t="shared" ca="1" si="224"/>
        <v>10.637999999999975</v>
      </c>
      <c r="T481" s="304">
        <f t="shared" ca="1" si="204"/>
        <v>104.35877999999975</v>
      </c>
      <c r="U481" s="311">
        <f t="shared" ca="1" si="205"/>
        <v>0</v>
      </c>
      <c r="V481" s="306">
        <f t="shared" ca="1" si="206"/>
        <v>1.1430963065902304</v>
      </c>
      <c r="W481" s="304">
        <f t="shared" ca="1" si="207"/>
        <v>232.92685844572449</v>
      </c>
      <c r="Y481" s="314" t="str">
        <f t="shared" ca="1" si="225"/>
        <v/>
      </c>
      <c r="Z481" s="315" t="str">
        <f t="shared" ca="1" si="226"/>
        <v/>
      </c>
      <c r="AA481" s="316" t="str">
        <f t="shared" ca="1" si="227"/>
        <v/>
      </c>
      <c r="AC481" s="310" t="e">
        <f t="shared" ca="1" si="228"/>
        <v>#N/A</v>
      </c>
      <c r="AD481" s="323" t="e">
        <f t="shared" ca="1" si="229"/>
        <v>#N/A</v>
      </c>
      <c r="AE481" s="324">
        <f t="shared" ca="1" si="208"/>
        <v>691.7260348055795</v>
      </c>
      <c r="AG481" s="306">
        <f t="shared" ca="1" si="230"/>
        <v>-31.694970070580737</v>
      </c>
      <c r="AH481" s="304">
        <f t="shared" ca="1" si="231"/>
        <v>-21.963299443637652</v>
      </c>
    </row>
    <row r="482" spans="1:34" x14ac:dyDescent="0.25">
      <c r="A482" s="347">
        <f t="shared" ca="1" si="209"/>
        <v>0.01</v>
      </c>
      <c r="B482" s="304">
        <f t="shared" ca="1" si="210"/>
        <v>4.7799999999999425</v>
      </c>
      <c r="D482" s="306">
        <f t="shared" ca="1" si="211"/>
        <v>-2.7626417918430493</v>
      </c>
      <c r="E482" s="307">
        <f t="shared" ca="1" si="212"/>
        <v>-31.530753739731821</v>
      </c>
      <c r="F482" s="304">
        <f t="shared" ca="1" si="213"/>
        <v>31.651550057866835</v>
      </c>
      <c r="G482" s="306">
        <f t="shared" ca="1" si="214"/>
        <v>27.909988391975602</v>
      </c>
      <c r="H482" s="307">
        <f t="shared" ca="1" si="215"/>
        <v>219.33895714248342</v>
      </c>
      <c r="I482" s="304">
        <f t="shared" ca="1" si="216"/>
        <v>221.10754300202512</v>
      </c>
      <c r="J482" s="306">
        <f t="shared" ca="1" si="217"/>
        <v>80.930122401176419</v>
      </c>
      <c r="K482" s="307">
        <f t="shared" ca="1" si="218"/>
        <v>693.92100091469138</v>
      </c>
      <c r="L482" s="304">
        <f t="shared" ca="1" si="203"/>
        <v>698.62439137373133</v>
      </c>
      <c r="M482" s="306">
        <f t="shared" ca="1" si="219"/>
        <v>1.4442305750844924</v>
      </c>
      <c r="N482" s="304">
        <f t="shared" ca="1" si="220"/>
        <v>82.748316596093161</v>
      </c>
      <c r="P482" s="310">
        <f t="shared" ca="1" si="221"/>
        <v>23</v>
      </c>
      <c r="Q482" s="304">
        <f t="shared" ca="1" si="222"/>
        <v>0</v>
      </c>
      <c r="R482" s="306">
        <f t="shared" ca="1" si="223"/>
        <v>0</v>
      </c>
      <c r="S482" s="307">
        <f t="shared" ca="1" si="224"/>
        <v>10.637999999999975</v>
      </c>
      <c r="T482" s="304">
        <f t="shared" ca="1" si="204"/>
        <v>104.35877999999975</v>
      </c>
      <c r="U482" s="311">
        <f t="shared" ca="1" si="205"/>
        <v>0</v>
      </c>
      <c r="V482" s="306">
        <f t="shared" ca="1" si="206"/>
        <v>1.1428451269739626</v>
      </c>
      <c r="W482" s="304">
        <f t="shared" ca="1" si="207"/>
        <v>232.21089024129353</v>
      </c>
      <c r="Y482" s="314" t="str">
        <f t="shared" ca="1" si="225"/>
        <v/>
      </c>
      <c r="Z482" s="315" t="str">
        <f t="shared" ca="1" si="226"/>
        <v/>
      </c>
      <c r="AA482" s="316" t="str">
        <f t="shared" ca="1" si="227"/>
        <v/>
      </c>
      <c r="AC482" s="310" t="e">
        <f t="shared" ca="1" si="228"/>
        <v>#N/A</v>
      </c>
      <c r="AD482" s="323" t="e">
        <f t="shared" ca="1" si="229"/>
        <v>#N/A</v>
      </c>
      <c r="AE482" s="324">
        <f t="shared" ca="1" si="208"/>
        <v>693.92100091469138</v>
      </c>
      <c r="AG482" s="306">
        <f t="shared" ca="1" si="230"/>
        <v>-31.627339257031647</v>
      </c>
      <c r="AH482" s="304">
        <f t="shared" ca="1" si="231"/>
        <v>-21.89573777455584</v>
      </c>
    </row>
    <row r="483" spans="1:34" x14ac:dyDescent="0.25">
      <c r="A483" s="347">
        <f t="shared" ca="1" si="209"/>
        <v>0.01</v>
      </c>
      <c r="B483" s="304">
        <f t="shared" ca="1" si="210"/>
        <v>4.7899999999999423</v>
      </c>
      <c r="D483" s="306">
        <f t="shared" ca="1" si="211"/>
        <v>-2.7553621907794845</v>
      </c>
      <c r="E483" s="307">
        <f t="shared" ca="1" si="212"/>
        <v>-31.4638344978015</v>
      </c>
      <c r="F483" s="304">
        <f t="shared" ca="1" si="213"/>
        <v>31.584250855567571</v>
      </c>
      <c r="G483" s="306">
        <f t="shared" ca="1" si="214"/>
        <v>27.882434770067807</v>
      </c>
      <c r="H483" s="307">
        <f t="shared" ca="1" si="215"/>
        <v>219.0243187975054</v>
      </c>
      <c r="I483" s="304">
        <f t="shared" ca="1" si="216"/>
        <v>220.79194367870031</v>
      </c>
      <c r="J483" s="306">
        <f t="shared" ca="1" si="217"/>
        <v>81.209084516986636</v>
      </c>
      <c r="K483" s="307">
        <f t="shared" ca="1" si="218"/>
        <v>696.11281729439133</v>
      </c>
      <c r="L483" s="304">
        <f t="shared" ca="1" si="203"/>
        <v>700.83376760086389</v>
      </c>
      <c r="M483" s="306">
        <f t="shared" ca="1" si="219"/>
        <v>1.4441744907097935</v>
      </c>
      <c r="N483" s="304">
        <f t="shared" ca="1" si="220"/>
        <v>82.745103198126287</v>
      </c>
      <c r="P483" s="310">
        <f t="shared" ca="1" si="221"/>
        <v>23</v>
      </c>
      <c r="Q483" s="304">
        <f t="shared" ca="1" si="222"/>
        <v>0</v>
      </c>
      <c r="R483" s="306">
        <f t="shared" ca="1" si="223"/>
        <v>0</v>
      </c>
      <c r="S483" s="307">
        <f t="shared" ca="1" si="224"/>
        <v>10.637999999999975</v>
      </c>
      <c r="T483" s="304">
        <f t="shared" ca="1" si="204"/>
        <v>104.35877999999975</v>
      </c>
      <c r="U483" s="311">
        <f t="shared" ca="1" si="205"/>
        <v>0</v>
      </c>
      <c r="V483" s="306">
        <f t="shared" ca="1" si="206"/>
        <v>1.1425943609591218</v>
      </c>
      <c r="W483" s="304">
        <f t="shared" ca="1" si="207"/>
        <v>231.49766085574447</v>
      </c>
      <c r="Y483" s="314" t="str">
        <f t="shared" ca="1" si="225"/>
        <v/>
      </c>
      <c r="Z483" s="315" t="str">
        <f t="shared" ca="1" si="226"/>
        <v/>
      </c>
      <c r="AA483" s="316" t="str">
        <f t="shared" ca="1" si="227"/>
        <v/>
      </c>
      <c r="AC483" s="310" t="e">
        <f t="shared" ca="1" si="228"/>
        <v>#N/A</v>
      </c>
      <c r="AD483" s="323" t="e">
        <f t="shared" ca="1" si="229"/>
        <v>#N/A</v>
      </c>
      <c r="AE483" s="324">
        <f t="shared" ca="1" si="208"/>
        <v>696.11281729439133</v>
      </c>
      <c r="AG483" s="306">
        <f t="shared" ca="1" si="230"/>
        <v>-31.559967057061932</v>
      </c>
      <c r="AH483" s="304">
        <f t="shared" ca="1" si="231"/>
        <v>-21.82843487885825</v>
      </c>
    </row>
    <row r="484" spans="1:34" x14ac:dyDescent="0.25">
      <c r="A484" s="347">
        <f t="shared" ca="1" si="209"/>
        <v>0.01</v>
      </c>
      <c r="B484" s="304">
        <f t="shared" ca="1" si="210"/>
        <v>4.7999999999999421</v>
      </c>
      <c r="D484" s="306">
        <f t="shared" ca="1" si="211"/>
        <v>-2.7481098786445193</v>
      </c>
      <c r="E484" s="307">
        <f t="shared" ca="1" si="212"/>
        <v>-31.397171246499703</v>
      </c>
      <c r="F484" s="304">
        <f t="shared" ca="1" si="213"/>
        <v>31.517209111644565</v>
      </c>
      <c r="G484" s="306">
        <f t="shared" ca="1" si="214"/>
        <v>27.854953671281361</v>
      </c>
      <c r="H484" s="307">
        <f t="shared" ca="1" si="215"/>
        <v>218.71034708504041</v>
      </c>
      <c r="I484" s="304">
        <f t="shared" ca="1" si="216"/>
        <v>220.47701550521785</v>
      </c>
      <c r="J484" s="306">
        <f t="shared" ca="1" si="217"/>
        <v>81.487771459193382</v>
      </c>
      <c r="K484" s="307">
        <f t="shared" ca="1" si="218"/>
        <v>698.30149062380406</v>
      </c>
      <c r="L484" s="304">
        <f t="shared" ca="1" si="203"/>
        <v>703.03999082898008</v>
      </c>
      <c r="M484" s="306">
        <f t="shared" ca="1" si="219"/>
        <v>1.4441183014697454</v>
      </c>
      <c r="N484" s="304">
        <f t="shared" ca="1" si="220"/>
        <v>82.741883791817486</v>
      </c>
      <c r="P484" s="310">
        <f t="shared" ca="1" si="221"/>
        <v>23</v>
      </c>
      <c r="Q484" s="304">
        <f t="shared" ca="1" si="222"/>
        <v>0</v>
      </c>
      <c r="R484" s="306">
        <f t="shared" ca="1" si="223"/>
        <v>0</v>
      </c>
      <c r="S484" s="307">
        <f t="shared" ca="1" si="224"/>
        <v>10.637999999999975</v>
      </c>
      <c r="T484" s="304">
        <f t="shared" ca="1" si="204"/>
        <v>104.35877999999975</v>
      </c>
      <c r="U484" s="311">
        <f t="shared" ca="1" si="205"/>
        <v>0</v>
      </c>
      <c r="V484" s="306">
        <f t="shared" ca="1" si="206"/>
        <v>1.1423440075359172</v>
      </c>
      <c r="W484" s="304">
        <f t="shared" ca="1" si="207"/>
        <v>230.78715636667206</v>
      </c>
      <c r="Y484" s="314" t="str">
        <f t="shared" ca="1" si="225"/>
        <v/>
      </c>
      <c r="Z484" s="315" t="str">
        <f t="shared" ca="1" si="226"/>
        <v/>
      </c>
      <c r="AA484" s="316" t="str">
        <f t="shared" ca="1" si="227"/>
        <v/>
      </c>
      <c r="AC484" s="310" t="e">
        <f t="shared" ca="1" si="228"/>
        <v>#N/A</v>
      </c>
      <c r="AD484" s="323" t="e">
        <f t="shared" ca="1" si="229"/>
        <v>#N/A</v>
      </c>
      <c r="AE484" s="324">
        <f t="shared" ca="1" si="208"/>
        <v>698.30149062380406</v>
      </c>
      <c r="AG484" s="306">
        <f t="shared" ca="1" si="230"/>
        <v>-31.492852153084669</v>
      </c>
      <c r="AH484" s="304">
        <f t="shared" ca="1" si="231"/>
        <v>-21.761389439344335</v>
      </c>
    </row>
    <row r="485" spans="1:34" x14ac:dyDescent="0.25">
      <c r="A485" s="347">
        <f t="shared" ca="1" si="209"/>
        <v>0.01</v>
      </c>
      <c r="B485" s="304">
        <f t="shared" ca="1" si="210"/>
        <v>4.8099999999999419</v>
      </c>
      <c r="D485" s="306">
        <f t="shared" ca="1" si="211"/>
        <v>-2.7408847159622227</v>
      </c>
      <c r="E485" s="307">
        <f t="shared" ca="1" si="212"/>
        <v>-31.330762684528416</v>
      </c>
      <c r="F485" s="304">
        <f t="shared" ca="1" si="213"/>
        <v>31.450423517346053</v>
      </c>
      <c r="G485" s="306">
        <f t="shared" ca="1" si="214"/>
        <v>27.827544824121738</v>
      </c>
      <c r="H485" s="307">
        <f t="shared" ca="1" si="215"/>
        <v>218.39703945819514</v>
      </c>
      <c r="I485" s="304">
        <f t="shared" ca="1" si="216"/>
        <v>220.16275592171112</v>
      </c>
      <c r="J485" s="306">
        <f t="shared" ca="1" si="217"/>
        <v>81.766183951670399</v>
      </c>
      <c r="K485" s="307">
        <f t="shared" ca="1" si="218"/>
        <v>700.48702755652027</v>
      </c>
      <c r="L485" s="304">
        <f t="shared" ca="1" si="203"/>
        <v>705.24306775252148</v>
      </c>
      <c r="M485" s="306">
        <f t="shared" ca="1" si="219"/>
        <v>1.4440620071891219</v>
      </c>
      <c r="N485" s="304">
        <f t="shared" ca="1" si="220"/>
        <v>82.73865836712703</v>
      </c>
      <c r="P485" s="310">
        <f t="shared" ca="1" si="221"/>
        <v>23</v>
      </c>
      <c r="Q485" s="304">
        <f t="shared" ca="1" si="222"/>
        <v>0</v>
      </c>
      <c r="R485" s="306">
        <f t="shared" ca="1" si="223"/>
        <v>0</v>
      </c>
      <c r="S485" s="307">
        <f t="shared" ca="1" si="224"/>
        <v>10.637999999999975</v>
      </c>
      <c r="T485" s="304">
        <f t="shared" ca="1" si="204"/>
        <v>104.35877999999975</v>
      </c>
      <c r="U485" s="311">
        <f t="shared" ca="1" si="205"/>
        <v>0</v>
      </c>
      <c r="V485" s="306">
        <f t="shared" ca="1" si="206"/>
        <v>1.1420940656986054</v>
      </c>
      <c r="W485" s="304">
        <f t="shared" ca="1" si="207"/>
        <v>230.07936294095168</v>
      </c>
      <c r="Y485" s="314" t="str">
        <f t="shared" ca="1" si="225"/>
        <v/>
      </c>
      <c r="Z485" s="315" t="str">
        <f t="shared" ca="1" si="226"/>
        <v/>
      </c>
      <c r="AA485" s="316" t="str">
        <f t="shared" ca="1" si="227"/>
        <v/>
      </c>
      <c r="AC485" s="310" t="e">
        <f t="shared" ca="1" si="228"/>
        <v>#N/A</v>
      </c>
      <c r="AD485" s="323" t="e">
        <f t="shared" ca="1" si="229"/>
        <v>#N/A</v>
      </c>
      <c r="AE485" s="324">
        <f t="shared" ca="1" si="208"/>
        <v>700.48702755652027</v>
      </c>
      <c r="AG485" s="306">
        <f t="shared" ca="1" si="230"/>
        <v>-31.425993235969383</v>
      </c>
      <c r="AH485" s="304">
        <f t="shared" ca="1" si="231"/>
        <v>-21.694600147271348</v>
      </c>
    </row>
    <row r="486" spans="1:34" x14ac:dyDescent="0.25">
      <c r="A486" s="347">
        <f t="shared" ca="1" si="209"/>
        <v>0.01</v>
      </c>
      <c r="B486" s="304">
        <f t="shared" ca="1" si="210"/>
        <v>4.8199999999999417</v>
      </c>
      <c r="D486" s="306">
        <f t="shared" ca="1" si="211"/>
        <v>-2.7336865641503851</v>
      </c>
      <c r="E486" s="307">
        <f t="shared" ca="1" si="212"/>
        <v>-31.264607518934504</v>
      </c>
      <c r="F486" s="304">
        <f t="shared" ca="1" si="213"/>
        <v>31.383892772312876</v>
      </c>
      <c r="G486" s="306">
        <f t="shared" ca="1" si="214"/>
        <v>27.800207958480232</v>
      </c>
      <c r="H486" s="307">
        <f t="shared" ca="1" si="215"/>
        <v>218.08439338300579</v>
      </c>
      <c r="I486" s="304">
        <f t="shared" ca="1" si="216"/>
        <v>219.84916238132081</v>
      </c>
      <c r="J486" s="306">
        <f t="shared" ca="1" si="217"/>
        <v>82.044322715583405</v>
      </c>
      <c r="K486" s="307">
        <f t="shared" ca="1" si="218"/>
        <v>702.66943472072626</v>
      </c>
      <c r="L486" s="304">
        <f t="shared" ca="1" si="203"/>
        <v>707.44300504040871</v>
      </c>
      <c r="M486" s="306">
        <f t="shared" ca="1" si="219"/>
        <v>1.4440056076921737</v>
      </c>
      <c r="N486" s="304">
        <f t="shared" ca="1" si="220"/>
        <v>82.735426913985236</v>
      </c>
      <c r="P486" s="310">
        <f t="shared" ca="1" si="221"/>
        <v>23</v>
      </c>
      <c r="Q486" s="304">
        <f t="shared" ca="1" si="222"/>
        <v>0</v>
      </c>
      <c r="R486" s="306">
        <f t="shared" ca="1" si="223"/>
        <v>0</v>
      </c>
      <c r="S486" s="307">
        <f t="shared" ca="1" si="224"/>
        <v>10.637999999999975</v>
      </c>
      <c r="T486" s="304">
        <f t="shared" ca="1" si="204"/>
        <v>104.35877999999975</v>
      </c>
      <c r="U486" s="311">
        <f t="shared" ca="1" si="205"/>
        <v>0</v>
      </c>
      <c r="V486" s="306">
        <f t="shared" ca="1" si="206"/>
        <v>1.1418445344454682</v>
      </c>
      <c r="W486" s="304">
        <f t="shared" ca="1" si="207"/>
        <v>229.37426683404914</v>
      </c>
      <c r="Y486" s="314" t="str">
        <f t="shared" ca="1" si="225"/>
        <v/>
      </c>
      <c r="Z486" s="315" t="str">
        <f t="shared" ca="1" si="226"/>
        <v/>
      </c>
      <c r="AA486" s="316" t="str">
        <f t="shared" ca="1" si="227"/>
        <v/>
      </c>
      <c r="AC486" s="310" t="e">
        <f t="shared" ca="1" si="228"/>
        <v>#N/A</v>
      </c>
      <c r="AD486" s="323" t="e">
        <f t="shared" ca="1" si="229"/>
        <v>#N/A</v>
      </c>
      <c r="AE486" s="324">
        <f t="shared" ca="1" si="208"/>
        <v>702.66943472072626</v>
      </c>
      <c r="AG486" s="306">
        <f t="shared" ca="1" si="230"/>
        <v>-31.359389004976883</v>
      </c>
      <c r="AH486" s="304">
        <f t="shared" ca="1" si="231"/>
        <v>-21.628065702289174</v>
      </c>
    </row>
    <row r="487" spans="1:34" x14ac:dyDescent="0.25">
      <c r="A487" s="347">
        <f t="shared" ca="1" si="209"/>
        <v>0.01</v>
      </c>
      <c r="B487" s="304">
        <f t="shared" ca="1" si="210"/>
        <v>4.8299999999999415</v>
      </c>
      <c r="D487" s="306">
        <f t="shared" ca="1" si="211"/>
        <v>-2.7265152855136194</v>
      </c>
      <c r="E487" s="307">
        <f t="shared" ca="1" si="212"/>
        <v>-31.198704465045182</v>
      </c>
      <c r="F487" s="304">
        <f t="shared" ca="1" si="213"/>
        <v>31.317615584513607</v>
      </c>
      <c r="G487" s="306">
        <f t="shared" ca="1" si="214"/>
        <v>27.772942805625096</v>
      </c>
      <c r="H487" s="307">
        <f t="shared" ca="1" si="215"/>
        <v>217.77240633835532</v>
      </c>
      <c r="I487" s="304">
        <f t="shared" ca="1" si="216"/>
        <v>219.53623235011179</v>
      </c>
      <c r="J487" s="306">
        <f t="shared" ca="1" si="217"/>
        <v>82.322188469403926</v>
      </c>
      <c r="K487" s="307">
        <f t="shared" ca="1" si="218"/>
        <v>704.84871871933308</v>
      </c>
      <c r="L487" s="304">
        <f t="shared" ca="1" si="203"/>
        <v>709.63980933617131</v>
      </c>
      <c r="M487" s="306">
        <f t="shared" ca="1" si="219"/>
        <v>1.4439491028026266</v>
      </c>
      <c r="N487" s="304">
        <f t="shared" ca="1" si="220"/>
        <v>82.732189422292336</v>
      </c>
      <c r="P487" s="310">
        <f t="shared" ca="1" si="221"/>
        <v>23</v>
      </c>
      <c r="Q487" s="304">
        <f t="shared" ca="1" si="222"/>
        <v>0</v>
      </c>
      <c r="R487" s="306">
        <f t="shared" ca="1" si="223"/>
        <v>0</v>
      </c>
      <c r="S487" s="307">
        <f t="shared" ca="1" si="224"/>
        <v>10.637999999999975</v>
      </c>
      <c r="T487" s="304">
        <f t="shared" ca="1" si="204"/>
        <v>104.35877999999975</v>
      </c>
      <c r="U487" s="311">
        <f t="shared" ca="1" si="205"/>
        <v>0</v>
      </c>
      <c r="V487" s="306">
        <f t="shared" ca="1" si="206"/>
        <v>1.1415954127787911</v>
      </c>
      <c r="W487" s="304">
        <f t="shared" ca="1" si="207"/>
        <v>228.67185438933856</v>
      </c>
      <c r="Y487" s="314" t="str">
        <f t="shared" ca="1" si="225"/>
        <v/>
      </c>
      <c r="Z487" s="315" t="str">
        <f t="shared" ca="1" si="226"/>
        <v/>
      </c>
      <c r="AA487" s="316" t="str">
        <f t="shared" ca="1" si="227"/>
        <v/>
      </c>
      <c r="AC487" s="310" t="e">
        <f t="shared" ca="1" si="228"/>
        <v>#N/A</v>
      </c>
      <c r="AD487" s="323" t="e">
        <f t="shared" ca="1" si="229"/>
        <v>#N/A</v>
      </c>
      <c r="AE487" s="324">
        <f t="shared" ca="1" si="208"/>
        <v>704.84871871933308</v>
      </c>
      <c r="AG487" s="306">
        <f t="shared" ca="1" si="230"/>
        <v>-31.293038167694355</v>
      </c>
      <c r="AH487" s="304">
        <f t="shared" ca="1" si="231"/>
        <v>-21.561784812375414</v>
      </c>
    </row>
    <row r="488" spans="1:34" x14ac:dyDescent="0.25">
      <c r="A488" s="347">
        <f t="shared" ca="1" si="209"/>
        <v>0.01</v>
      </c>
      <c r="B488" s="304">
        <f t="shared" ca="1" si="210"/>
        <v>4.8399999999999412</v>
      </c>
      <c r="D488" s="306">
        <f t="shared" ca="1" si="211"/>
        <v>-2.7193707432365337</v>
      </c>
      <c r="E488" s="307">
        <f t="shared" ca="1" si="212"/>
        <v>-31.133052246404276</v>
      </c>
      <c r="F488" s="304">
        <f t="shared" ca="1" si="213"/>
        <v>31.251590670180441</v>
      </c>
      <c r="G488" s="306">
        <f t="shared" ca="1" si="214"/>
        <v>27.745749098192732</v>
      </c>
      <c r="H488" s="307">
        <f t="shared" ca="1" si="215"/>
        <v>217.46107581589129</v>
      </c>
      <c r="I488" s="304">
        <f t="shared" ca="1" si="216"/>
        <v>219.22396330699041</v>
      </c>
      <c r="J488" s="306">
        <f t="shared" ca="1" si="217"/>
        <v>82.599781928923022</v>
      </c>
      <c r="K488" s="307">
        <f t="shared" ca="1" si="218"/>
        <v>707.02488613010428</v>
      </c>
      <c r="L488" s="304">
        <f t="shared" ca="1" si="203"/>
        <v>711.83348725807537</v>
      </c>
      <c r="M488" s="306">
        <f t="shared" ca="1" si="219"/>
        <v>1.4438924923436809</v>
      </c>
      <c r="N488" s="304">
        <f t="shared" ca="1" si="220"/>
        <v>82.728945881918449</v>
      </c>
      <c r="P488" s="310">
        <f t="shared" ca="1" si="221"/>
        <v>23</v>
      </c>
      <c r="Q488" s="304">
        <f t="shared" ca="1" si="222"/>
        <v>0</v>
      </c>
      <c r="R488" s="306">
        <f t="shared" ca="1" si="223"/>
        <v>0</v>
      </c>
      <c r="S488" s="307">
        <f t="shared" ca="1" si="224"/>
        <v>10.637999999999975</v>
      </c>
      <c r="T488" s="304">
        <f t="shared" ca="1" si="204"/>
        <v>104.35877999999975</v>
      </c>
      <c r="U488" s="311">
        <f t="shared" ca="1" si="205"/>
        <v>0</v>
      </c>
      <c r="V488" s="306">
        <f t="shared" ca="1" si="206"/>
        <v>1.1413466997048418</v>
      </c>
      <c r="W488" s="304">
        <f t="shared" ca="1" si="207"/>
        <v>227.97211203742555</v>
      </c>
      <c r="Y488" s="314" t="str">
        <f t="shared" ca="1" si="225"/>
        <v/>
      </c>
      <c r="Z488" s="315" t="str">
        <f t="shared" ca="1" si="226"/>
        <v/>
      </c>
      <c r="AA488" s="316" t="str">
        <f t="shared" ca="1" si="227"/>
        <v/>
      </c>
      <c r="AC488" s="310" t="e">
        <f t="shared" ca="1" si="228"/>
        <v>#N/A</v>
      </c>
      <c r="AD488" s="323" t="e">
        <f t="shared" ca="1" si="229"/>
        <v>#N/A</v>
      </c>
      <c r="AE488" s="324">
        <f t="shared" ca="1" si="208"/>
        <v>707.02488613010428</v>
      </c>
      <c r="AG488" s="306">
        <f t="shared" ca="1" si="230"/>
        <v>-31.226939439971243</v>
      </c>
      <c r="AH488" s="304">
        <f t="shared" ca="1" si="231"/>
        <v>-21.4957561937713</v>
      </c>
    </row>
    <row r="489" spans="1:34" x14ac:dyDescent="0.25">
      <c r="A489" s="347">
        <f t="shared" ca="1" si="209"/>
        <v>0.01</v>
      </c>
      <c r="B489" s="304">
        <f t="shared" ca="1" si="210"/>
        <v>4.849999999999941</v>
      </c>
      <c r="D489" s="306">
        <f t="shared" ca="1" si="211"/>
        <v>-2.712252801376934</v>
      </c>
      <c r="E489" s="307">
        <f t="shared" ca="1" si="212"/>
        <v>-31.067649594708946</v>
      </c>
      <c r="F489" s="304">
        <f t="shared" ca="1" si="213"/>
        <v>31.185816753745542</v>
      </c>
      <c r="G489" s="306">
        <f t="shared" ca="1" si="214"/>
        <v>27.718626570178962</v>
      </c>
      <c r="H489" s="307">
        <f t="shared" ca="1" si="215"/>
        <v>217.1503993199442</v>
      </c>
      <c r="I489" s="304">
        <f t="shared" ca="1" si="216"/>
        <v>218.91235274362262</v>
      </c>
      <c r="J489" s="306">
        <f t="shared" ca="1" si="217"/>
        <v>82.877103807264874</v>
      </c>
      <c r="K489" s="307">
        <f t="shared" ca="1" si="218"/>
        <v>709.19794350578343</v>
      </c>
      <c r="L489" s="304">
        <f t="shared" ca="1" si="203"/>
        <v>714.02404539925158</v>
      </c>
      <c r="M489" s="306">
        <f t="shared" ca="1" si="219"/>
        <v>1.443835776138009</v>
      </c>
      <c r="N489" s="304">
        <f t="shared" ca="1" si="220"/>
        <v>82.725696282703453</v>
      </c>
      <c r="P489" s="310">
        <f t="shared" ca="1" si="221"/>
        <v>23</v>
      </c>
      <c r="Q489" s="304">
        <f t="shared" ca="1" si="222"/>
        <v>0</v>
      </c>
      <c r="R489" s="306">
        <f t="shared" ca="1" si="223"/>
        <v>0</v>
      </c>
      <c r="S489" s="307">
        <f t="shared" ca="1" si="224"/>
        <v>10.637999999999975</v>
      </c>
      <c r="T489" s="304">
        <f t="shared" ca="1" si="204"/>
        <v>104.35877999999975</v>
      </c>
      <c r="U489" s="311">
        <f t="shared" ca="1" si="205"/>
        <v>0</v>
      </c>
      <c r="V489" s="306">
        <f t="shared" ca="1" si="206"/>
        <v>1.1410983942338508</v>
      </c>
      <c r="W489" s="304">
        <f t="shared" ca="1" si="207"/>
        <v>227.27502629547689</v>
      </c>
      <c r="Y489" s="314" t="str">
        <f t="shared" ca="1" si="225"/>
        <v/>
      </c>
      <c r="Z489" s="315" t="str">
        <f t="shared" ca="1" si="226"/>
        <v/>
      </c>
      <c r="AA489" s="316" t="str">
        <f t="shared" ca="1" si="227"/>
        <v/>
      </c>
      <c r="AC489" s="310" t="e">
        <f t="shared" ca="1" si="228"/>
        <v>#N/A</v>
      </c>
      <c r="AD489" s="323" t="e">
        <f t="shared" ca="1" si="229"/>
        <v>#N/A</v>
      </c>
      <c r="AE489" s="324">
        <f t="shared" ca="1" si="208"/>
        <v>709.19794350578343</v>
      </c>
      <c r="AG489" s="306">
        <f t="shared" ca="1" si="230"/>
        <v>-31.161091545855612</v>
      </c>
      <c r="AH489" s="304">
        <f t="shared" ca="1" si="231"/>
        <v>-21.429978570918038</v>
      </c>
    </row>
    <row r="490" spans="1:34" x14ac:dyDescent="0.25">
      <c r="A490" s="347">
        <f t="shared" ca="1" si="209"/>
        <v>0.01</v>
      </c>
      <c r="B490" s="304">
        <f t="shared" ca="1" si="210"/>
        <v>4.8599999999999408</v>
      </c>
      <c r="D490" s="306">
        <f t="shared" ca="1" si="211"/>
        <v>-2.7051613248591315</v>
      </c>
      <c r="E490" s="307">
        <f t="shared" ca="1" si="212"/>
        <v>-31.002495249747035</v>
      </c>
      <c r="F490" s="304">
        <f t="shared" ca="1" si="213"/>
        <v>31.120292567778037</v>
      </c>
      <c r="G490" s="306">
        <f t="shared" ca="1" si="214"/>
        <v>27.691574956930371</v>
      </c>
      <c r="H490" s="307">
        <f t="shared" ca="1" si="215"/>
        <v>216.84037436744674</v>
      </c>
      <c r="I490" s="304">
        <f t="shared" ca="1" si="216"/>
        <v>218.60139816435245</v>
      </c>
      <c r="J490" s="306">
        <f t="shared" ca="1" si="217"/>
        <v>83.154154814900423</v>
      </c>
      <c r="K490" s="307">
        <f t="shared" ca="1" si="218"/>
        <v>711.36789737422043</v>
      </c>
      <c r="L490" s="304">
        <f t="shared" ca="1" si="203"/>
        <v>716.21149032782205</v>
      </c>
      <c r="M490" s="306">
        <f t="shared" ca="1" si="219"/>
        <v>1.4437789540077539</v>
      </c>
      <c r="N490" s="304">
        <f t="shared" ca="1" si="220"/>
        <v>82.722440614456886</v>
      </c>
      <c r="P490" s="310">
        <f t="shared" ca="1" si="221"/>
        <v>23</v>
      </c>
      <c r="Q490" s="304">
        <f t="shared" ca="1" si="222"/>
        <v>0</v>
      </c>
      <c r="R490" s="306">
        <f t="shared" ca="1" si="223"/>
        <v>0</v>
      </c>
      <c r="S490" s="307">
        <f t="shared" ca="1" si="224"/>
        <v>10.637999999999975</v>
      </c>
      <c r="T490" s="304">
        <f t="shared" ca="1" si="204"/>
        <v>104.35877999999975</v>
      </c>
      <c r="U490" s="311">
        <f t="shared" ca="1" si="205"/>
        <v>0</v>
      </c>
      <c r="V490" s="306">
        <f t="shared" ca="1" si="206"/>
        <v>1.1408504953799889</v>
      </c>
      <c r="W490" s="304">
        <f t="shared" ca="1" si="207"/>
        <v>226.5805837665558</v>
      </c>
      <c r="Y490" s="314" t="str">
        <f t="shared" ca="1" si="225"/>
        <v/>
      </c>
      <c r="Z490" s="315" t="str">
        <f t="shared" ca="1" si="226"/>
        <v/>
      </c>
      <c r="AA490" s="316" t="str">
        <f t="shared" ca="1" si="227"/>
        <v/>
      </c>
      <c r="AC490" s="310" t="e">
        <f t="shared" ca="1" si="228"/>
        <v>#N/A</v>
      </c>
      <c r="AD490" s="323" t="e">
        <f t="shared" ca="1" si="229"/>
        <v>#N/A</v>
      </c>
      <c r="AE490" s="324">
        <f t="shared" ca="1" si="208"/>
        <v>711.36789737422043</v>
      </c>
      <c r="AG490" s="306">
        <f t="shared" ca="1" si="230"/>
        <v>-31.095493217531143</v>
      </c>
      <c r="AH490" s="304">
        <f t="shared" ca="1" si="231"/>
        <v>-21.364450676393815</v>
      </c>
    </row>
    <row r="491" spans="1:34" x14ac:dyDescent="0.25">
      <c r="A491" s="347">
        <f t="shared" ca="1" si="209"/>
        <v>0.01</v>
      </c>
      <c r="B491" s="304">
        <f t="shared" ca="1" si="210"/>
        <v>4.8699999999999406</v>
      </c>
      <c r="D491" s="306">
        <f t="shared" ca="1" si="211"/>
        <v>-2.6980961794672842</v>
      </c>
      <c r="E491" s="307">
        <f t="shared" ca="1" si="212"/>
        <v>-30.937587959334955</v>
      </c>
      <c r="F491" s="304">
        <f t="shared" ca="1" si="213"/>
        <v>31.055016852921575</v>
      </c>
      <c r="G491" s="306">
        <f t="shared" ca="1" si="214"/>
        <v>27.664593995135697</v>
      </c>
      <c r="H491" s="307">
        <f t="shared" ca="1" si="215"/>
        <v>216.5309984878534</v>
      </c>
      <c r="I491" s="304">
        <f t="shared" ca="1" si="216"/>
        <v>218.29109708612137</v>
      </c>
      <c r="J491" s="306">
        <f t="shared" ca="1" si="217"/>
        <v>83.430935659660747</v>
      </c>
      <c r="K491" s="307">
        <f t="shared" ca="1" si="218"/>
        <v>713.53475423849693</v>
      </c>
      <c r="L491" s="304">
        <f t="shared" ca="1" si="203"/>
        <v>718.39582858702533</v>
      </c>
      <c r="M491" s="306">
        <f t="shared" ca="1" si="219"/>
        <v>1.443722025774528</v>
      </c>
      <c r="N491" s="304">
        <f t="shared" ca="1" si="220"/>
        <v>82.719178866957918</v>
      </c>
      <c r="P491" s="310">
        <f t="shared" ca="1" si="221"/>
        <v>23</v>
      </c>
      <c r="Q491" s="304">
        <f t="shared" ca="1" si="222"/>
        <v>0</v>
      </c>
      <c r="R491" s="306">
        <f t="shared" ca="1" si="223"/>
        <v>0</v>
      </c>
      <c r="S491" s="307">
        <f t="shared" ca="1" si="224"/>
        <v>10.637999999999975</v>
      </c>
      <c r="T491" s="304">
        <f t="shared" ca="1" si="204"/>
        <v>104.35877999999975</v>
      </c>
      <c r="U491" s="311">
        <f t="shared" ca="1" si="205"/>
        <v>0</v>
      </c>
      <c r="V491" s="306">
        <f t="shared" ca="1" si="206"/>
        <v>1.140603002161348</v>
      </c>
      <c r="W491" s="304">
        <f t="shared" ca="1" si="207"/>
        <v>225.88877113896353</v>
      </c>
      <c r="Y491" s="314" t="str">
        <f t="shared" ca="1" si="225"/>
        <v/>
      </c>
      <c r="Z491" s="315" t="str">
        <f t="shared" ca="1" si="226"/>
        <v/>
      </c>
      <c r="AA491" s="316" t="str">
        <f t="shared" ca="1" si="227"/>
        <v/>
      </c>
      <c r="AC491" s="310" t="e">
        <f t="shared" ca="1" si="228"/>
        <v>#N/A</v>
      </c>
      <c r="AD491" s="323" t="e">
        <f t="shared" ca="1" si="229"/>
        <v>#N/A</v>
      </c>
      <c r="AE491" s="324">
        <f t="shared" ca="1" si="208"/>
        <v>713.53475423849693</v>
      </c>
      <c r="AG491" s="306">
        <f t="shared" ca="1" si="230"/>
        <v>-31.030143195254638</v>
      </c>
      <c r="AH491" s="304">
        <f t="shared" ca="1" si="231"/>
        <v>-21.29917125085132</v>
      </c>
    </row>
    <row r="492" spans="1:34" x14ac:dyDescent="0.25">
      <c r="A492" s="347">
        <f t="shared" ca="1" si="209"/>
        <v>0.01</v>
      </c>
      <c r="B492" s="304">
        <f t="shared" ca="1" si="210"/>
        <v>4.8799999999999404</v>
      </c>
      <c r="D492" s="306">
        <f t="shared" ca="1" si="211"/>
        <v>-2.6910572318387969</v>
      </c>
      <c r="E492" s="307">
        <f t="shared" ca="1" si="212"/>
        <v>-30.87292647925613</v>
      </c>
      <c r="F492" s="304">
        <f t="shared" ca="1" si="213"/>
        <v>30.989988357832374</v>
      </c>
      <c r="G492" s="306">
        <f t="shared" ca="1" si="214"/>
        <v>27.637683422817307</v>
      </c>
      <c r="H492" s="307">
        <f t="shared" ca="1" si="215"/>
        <v>216.22226922306083</v>
      </c>
      <c r="I492" s="304">
        <f t="shared" ca="1" si="216"/>
        <v>217.98144703838827</v>
      </c>
      <c r="J492" s="306">
        <f t="shared" ca="1" si="217"/>
        <v>83.707447046750517</v>
      </c>
      <c r="K492" s="307">
        <f t="shared" ca="1" si="218"/>
        <v>715.69852057705145</v>
      </c>
      <c r="L492" s="304">
        <f t="shared" ca="1" si="203"/>
        <v>720.57706669534298</v>
      </c>
      <c r="M492" s="306">
        <f t="shared" ca="1" si="219"/>
        <v>1.4436649912594108</v>
      </c>
      <c r="N492" s="304">
        <f t="shared" ca="1" si="220"/>
        <v>82.715911029955123</v>
      </c>
      <c r="P492" s="310">
        <f t="shared" ca="1" si="221"/>
        <v>23</v>
      </c>
      <c r="Q492" s="304">
        <f t="shared" ca="1" si="222"/>
        <v>0</v>
      </c>
      <c r="R492" s="306">
        <f t="shared" ca="1" si="223"/>
        <v>0</v>
      </c>
      <c r="S492" s="307">
        <f t="shared" ca="1" si="224"/>
        <v>10.637999999999975</v>
      </c>
      <c r="T492" s="304">
        <f t="shared" ca="1" si="204"/>
        <v>104.35877999999975</v>
      </c>
      <c r="U492" s="311">
        <f t="shared" ca="1" si="205"/>
        <v>0</v>
      </c>
      <c r="V492" s="306">
        <f t="shared" ca="1" si="206"/>
        <v>1.1403559135999182</v>
      </c>
      <c r="W492" s="304">
        <f t="shared" ca="1" si="207"/>
        <v>225.19957518558684</v>
      </c>
      <c r="Y492" s="314" t="str">
        <f t="shared" ca="1" si="225"/>
        <v/>
      </c>
      <c r="Z492" s="315" t="str">
        <f t="shared" ca="1" si="226"/>
        <v/>
      </c>
      <c r="AA492" s="316" t="str">
        <f t="shared" ca="1" si="227"/>
        <v/>
      </c>
      <c r="AC492" s="310" t="e">
        <f t="shared" ca="1" si="228"/>
        <v>#N/A</v>
      </c>
      <c r="AD492" s="323" t="e">
        <f t="shared" ca="1" si="229"/>
        <v>#N/A</v>
      </c>
      <c r="AE492" s="324">
        <f t="shared" ca="1" si="208"/>
        <v>715.69852057705145</v>
      </c>
      <c r="AG492" s="306">
        <f t="shared" ca="1" si="230"/>
        <v>-30.965040227294111</v>
      </c>
      <c r="AH492" s="304">
        <f t="shared" ca="1" si="231"/>
        <v>-21.234139042955825</v>
      </c>
    </row>
    <row r="493" spans="1:34" x14ac:dyDescent="0.25">
      <c r="A493" s="347">
        <f t="shared" ca="1" si="209"/>
        <v>0.01</v>
      </c>
      <c r="B493" s="304">
        <f t="shared" ca="1" si="210"/>
        <v>4.8899999999999402</v>
      </c>
      <c r="D493" s="306">
        <f t="shared" ca="1" si="211"/>
        <v>-2.6840443494578019</v>
      </c>
      <c r="E493" s="307">
        <f t="shared" ca="1" si="212"/>
        <v>-30.808509573200006</v>
      </c>
      <c r="F493" s="304">
        <f t="shared" ca="1" si="213"/>
        <v>30.925205839117915</v>
      </c>
      <c r="G493" s="306">
        <f t="shared" ca="1" si="214"/>
        <v>27.610842979322729</v>
      </c>
      <c r="H493" s="307">
        <f t="shared" ca="1" si="215"/>
        <v>215.91418412732884</v>
      </c>
      <c r="I493" s="304">
        <f t="shared" ca="1" si="216"/>
        <v>217.67244556304979</v>
      </c>
      <c r="J493" s="306">
        <f t="shared" ca="1" si="217"/>
        <v>83.983689678761223</v>
      </c>
      <c r="K493" s="307">
        <f t="shared" ca="1" si="218"/>
        <v>717.85920284380336</v>
      </c>
      <c r="L493" s="304">
        <f t="shared" ca="1" si="203"/>
        <v>722.75521114662274</v>
      </c>
      <c r="M493" s="306">
        <f t="shared" ca="1" si="219"/>
        <v>1.4436078502829481</v>
      </c>
      <c r="N493" s="304">
        <f t="shared" ca="1" si="220"/>
        <v>82.712637093166549</v>
      </c>
      <c r="P493" s="310">
        <f t="shared" ca="1" si="221"/>
        <v>23</v>
      </c>
      <c r="Q493" s="304">
        <f t="shared" ca="1" si="222"/>
        <v>0</v>
      </c>
      <c r="R493" s="306">
        <f t="shared" ca="1" si="223"/>
        <v>0</v>
      </c>
      <c r="S493" s="307">
        <f t="shared" ca="1" si="224"/>
        <v>10.637999999999975</v>
      </c>
      <c r="T493" s="304">
        <f t="shared" ca="1" si="204"/>
        <v>104.35877999999975</v>
      </c>
      <c r="U493" s="311">
        <f t="shared" ca="1" si="205"/>
        <v>0</v>
      </c>
      <c r="V493" s="306">
        <f t="shared" ca="1" si="206"/>
        <v>1.1401092287215706</v>
      </c>
      <c r="W493" s="304">
        <f t="shared" ca="1" si="207"/>
        <v>224.51298276325105</v>
      </c>
      <c r="Y493" s="314" t="str">
        <f t="shared" ca="1" si="225"/>
        <v/>
      </c>
      <c r="Z493" s="315" t="str">
        <f t="shared" ca="1" si="226"/>
        <v/>
      </c>
      <c r="AA493" s="316" t="str">
        <f t="shared" ca="1" si="227"/>
        <v/>
      </c>
      <c r="AC493" s="310" t="e">
        <f t="shared" ca="1" si="228"/>
        <v>#N/A</v>
      </c>
      <c r="AD493" s="323" t="e">
        <f t="shared" ca="1" si="229"/>
        <v>#N/A</v>
      </c>
      <c r="AE493" s="324">
        <f t="shared" ca="1" si="208"/>
        <v>717.85920284380336</v>
      </c>
      <c r="AG493" s="306">
        <f t="shared" ca="1" si="230"/>
        <v>-30.900183069867452</v>
      </c>
      <c r="AH493" s="304">
        <f t="shared" ca="1" si="231"/>
        <v>-21.169352809323872</v>
      </c>
    </row>
    <row r="494" spans="1:34" x14ac:dyDescent="0.25">
      <c r="A494" s="347">
        <f t="shared" ca="1" si="209"/>
        <v>0.01</v>
      </c>
      <c r="B494" s="304">
        <f t="shared" ca="1" si="210"/>
        <v>4.89999999999994</v>
      </c>
      <c r="D494" s="306">
        <f t="shared" ca="1" si="211"/>
        <v>-2.6770574006486676</v>
      </c>
      <c r="E494" s="307">
        <f t="shared" ca="1" si="212"/>
        <v>-30.744336012701588</v>
      </c>
      <c r="F494" s="304">
        <f t="shared" ca="1" si="213"/>
        <v>30.860668061276112</v>
      </c>
      <c r="G494" s="306">
        <f t="shared" ca="1" si="214"/>
        <v>27.584072405316242</v>
      </c>
      <c r="H494" s="307">
        <f t="shared" ca="1" si="215"/>
        <v>215.60674076720181</v>
      </c>
      <c r="I494" s="304">
        <f t="shared" ca="1" si="216"/>
        <v>217.36409021436151</v>
      </c>
      <c r="J494" s="306">
        <f t="shared" ca="1" si="217"/>
        <v>84.259664255684413</v>
      </c>
      <c r="K494" s="307">
        <f t="shared" ca="1" si="218"/>
        <v>720.01680746827606</v>
      </c>
      <c r="L494" s="304">
        <f t="shared" ca="1" si="203"/>
        <v>724.93026841020321</v>
      </c>
      <c r="M494" s="306">
        <f t="shared" ca="1" si="219"/>
        <v>1.4435506026651501</v>
      </c>
      <c r="N494" s="304">
        <f t="shared" ca="1" si="220"/>
        <v>82.70935704627955</v>
      </c>
      <c r="P494" s="310">
        <f t="shared" ca="1" si="221"/>
        <v>23</v>
      </c>
      <c r="Q494" s="304">
        <f t="shared" ca="1" si="222"/>
        <v>0</v>
      </c>
      <c r="R494" s="306">
        <f t="shared" ca="1" si="223"/>
        <v>0</v>
      </c>
      <c r="S494" s="307">
        <f t="shared" ca="1" si="224"/>
        <v>10.637999999999975</v>
      </c>
      <c r="T494" s="304">
        <f t="shared" ca="1" si="204"/>
        <v>104.35877999999975</v>
      </c>
      <c r="U494" s="311">
        <f t="shared" ca="1" si="205"/>
        <v>0</v>
      </c>
      <c r="V494" s="306">
        <f t="shared" ca="1" si="206"/>
        <v>1.1398629465560353</v>
      </c>
      <c r="W494" s="304">
        <f t="shared" ca="1" si="207"/>
        <v>223.82898081207915</v>
      </c>
      <c r="Y494" s="314" t="str">
        <f t="shared" ca="1" si="225"/>
        <v/>
      </c>
      <c r="Z494" s="315" t="str">
        <f t="shared" ca="1" si="226"/>
        <v/>
      </c>
      <c r="AA494" s="316" t="str">
        <f t="shared" ca="1" si="227"/>
        <v/>
      </c>
      <c r="AC494" s="310" t="e">
        <f t="shared" ca="1" si="228"/>
        <v>#N/A</v>
      </c>
      <c r="AD494" s="323" t="e">
        <f t="shared" ca="1" si="229"/>
        <v>#N/A</v>
      </c>
      <c r="AE494" s="324">
        <f t="shared" ca="1" si="208"/>
        <v>720.01680746827606</v>
      </c>
      <c r="AG494" s="306">
        <f t="shared" ca="1" si="230"/>
        <v>-30.835570487081633</v>
      </c>
      <c r="AH494" s="304">
        <f t="shared" ca="1" si="231"/>
        <v>-21.104811314462452</v>
      </c>
    </row>
    <row r="495" spans="1:34" x14ac:dyDescent="0.25">
      <c r="A495" s="347">
        <f t="shared" ca="1" si="209"/>
        <v>0.01</v>
      </c>
      <c r="B495" s="304">
        <f t="shared" ca="1" si="210"/>
        <v>4.9099999999999397</v>
      </c>
      <c r="D495" s="306">
        <f t="shared" ca="1" si="211"/>
        <v>-2.6700962545695814</v>
      </c>
      <c r="E495" s="307">
        <f t="shared" ca="1" si="212"/>
        <v>-30.680404577081539</v>
      </c>
      <c r="F495" s="304">
        <f t="shared" ca="1" si="213"/>
        <v>30.796373796635088</v>
      </c>
      <c r="G495" s="306">
        <f t="shared" ca="1" si="214"/>
        <v>27.557371442770545</v>
      </c>
      <c r="H495" s="307">
        <f t="shared" ca="1" si="215"/>
        <v>215.29993672143101</v>
      </c>
      <c r="I495" s="304">
        <f t="shared" ca="1" si="216"/>
        <v>217.05637855885973</v>
      </c>
      <c r="J495" s="306">
        <f t="shared" ca="1" si="217"/>
        <v>84.535371474924844</v>
      </c>
      <c r="K495" s="307">
        <f t="shared" ca="1" si="218"/>
        <v>722.17134085571922</v>
      </c>
      <c r="L495" s="304">
        <f t="shared" ca="1" si="203"/>
        <v>727.1022449310351</v>
      </c>
      <c r="M495" s="306">
        <f t="shared" ca="1" si="219"/>
        <v>1.4434932482254892</v>
      </c>
      <c r="N495" s="304">
        <f t="shared" ca="1" si="220"/>
        <v>82.706070878950641</v>
      </c>
      <c r="P495" s="310">
        <f t="shared" ca="1" si="221"/>
        <v>23</v>
      </c>
      <c r="Q495" s="304">
        <f t="shared" ca="1" si="222"/>
        <v>0</v>
      </c>
      <c r="R495" s="306">
        <f t="shared" ca="1" si="223"/>
        <v>0</v>
      </c>
      <c r="S495" s="307">
        <f t="shared" ca="1" si="224"/>
        <v>10.637999999999975</v>
      </c>
      <c r="T495" s="304">
        <f t="shared" ca="1" si="204"/>
        <v>104.35877999999975</v>
      </c>
      <c r="U495" s="311">
        <f t="shared" ca="1" si="205"/>
        <v>0</v>
      </c>
      <c r="V495" s="306">
        <f t="shared" ca="1" si="206"/>
        <v>1.1396170661368807</v>
      </c>
      <c r="W495" s="304">
        <f t="shared" ca="1" si="207"/>
        <v>223.1475563548567</v>
      </c>
      <c r="Y495" s="314" t="str">
        <f t="shared" ca="1" si="225"/>
        <v/>
      </c>
      <c r="Z495" s="315" t="str">
        <f t="shared" ca="1" si="226"/>
        <v/>
      </c>
      <c r="AA495" s="316" t="str">
        <f t="shared" ca="1" si="227"/>
        <v/>
      </c>
      <c r="AC495" s="310" t="e">
        <f t="shared" ca="1" si="228"/>
        <v>#N/A</v>
      </c>
      <c r="AD495" s="323" t="e">
        <f t="shared" ca="1" si="229"/>
        <v>#N/A</v>
      </c>
      <c r="AE495" s="324">
        <f t="shared" ca="1" si="208"/>
        <v>722.17134085571922</v>
      </c>
      <c r="AG495" s="306">
        <f t="shared" ca="1" si="230"/>
        <v>-30.771201250872402</v>
      </c>
      <c r="AH495" s="304">
        <f t="shared" ca="1" si="231"/>
        <v>-21.040513330708748</v>
      </c>
    </row>
    <row r="496" spans="1:34" x14ac:dyDescent="0.25">
      <c r="A496" s="347">
        <f t="shared" ca="1" si="209"/>
        <v>0.01</v>
      </c>
      <c r="B496" s="304">
        <f t="shared" ca="1" si="210"/>
        <v>4.9199999999999395</v>
      </c>
      <c r="D496" s="306">
        <f t="shared" ca="1" si="211"/>
        <v>-2.6631607812062108</v>
      </c>
      <c r="E496" s="307">
        <f t="shared" ca="1" si="212"/>
        <v>-30.616714053386815</v>
      </c>
      <c r="F496" s="304">
        <f t="shared" ca="1" si="213"/>
        <v>30.732321825293454</v>
      </c>
      <c r="G496" s="306">
        <f t="shared" ca="1" si="214"/>
        <v>27.530739834958482</v>
      </c>
      <c r="H496" s="307">
        <f t="shared" ca="1" si="215"/>
        <v>214.99376958089715</v>
      </c>
      <c r="I496" s="304">
        <f t="shared" ca="1" si="216"/>
        <v>216.7493081752836</v>
      </c>
      <c r="J496" s="306">
        <f t="shared" ca="1" si="217"/>
        <v>84.810812031313489</v>
      </c>
      <c r="K496" s="307">
        <f t="shared" ca="1" si="218"/>
        <v>724.3228093872309</v>
      </c>
      <c r="L496" s="304">
        <f t="shared" ca="1" si="203"/>
        <v>729.27114712980494</v>
      </c>
      <c r="M496" s="306">
        <f t="shared" ca="1" si="219"/>
        <v>1.4434357867828989</v>
      </c>
      <c r="N496" s="304">
        <f t="shared" ca="1" si="220"/>
        <v>82.702778580805486</v>
      </c>
      <c r="P496" s="310">
        <f t="shared" ca="1" si="221"/>
        <v>23</v>
      </c>
      <c r="Q496" s="304">
        <f t="shared" ca="1" si="222"/>
        <v>0</v>
      </c>
      <c r="R496" s="306">
        <f t="shared" ca="1" si="223"/>
        <v>0</v>
      </c>
      <c r="S496" s="307">
        <f t="shared" ca="1" si="224"/>
        <v>10.637999999999975</v>
      </c>
      <c r="T496" s="304">
        <f t="shared" ca="1" si="204"/>
        <v>104.35877999999975</v>
      </c>
      <c r="U496" s="311">
        <f t="shared" ca="1" si="205"/>
        <v>0</v>
      </c>
      <c r="V496" s="306">
        <f t="shared" ca="1" si="206"/>
        <v>1.1393715865014946</v>
      </c>
      <c r="W496" s="304">
        <f t="shared" ca="1" si="207"/>
        <v>222.46869649640155</v>
      </c>
      <c r="Y496" s="314" t="str">
        <f t="shared" ca="1" si="225"/>
        <v/>
      </c>
      <c r="Z496" s="315" t="str">
        <f t="shared" ca="1" si="226"/>
        <v/>
      </c>
      <c r="AA496" s="316" t="str">
        <f t="shared" ca="1" si="227"/>
        <v/>
      </c>
      <c r="AC496" s="310" t="e">
        <f t="shared" ca="1" si="228"/>
        <v>#N/A</v>
      </c>
      <c r="AD496" s="323" t="e">
        <f t="shared" ca="1" si="229"/>
        <v>#N/A</v>
      </c>
      <c r="AE496" s="324">
        <f t="shared" ca="1" si="208"/>
        <v>724.3228093872309</v>
      </c>
      <c r="AG496" s="306">
        <f t="shared" ca="1" si="230"/>
        <v>-30.70707414094462</v>
      </c>
      <c r="AH496" s="304">
        <f t="shared" ca="1" si="231"/>
        <v>-20.976457638170448</v>
      </c>
    </row>
    <row r="497" spans="1:34" x14ac:dyDescent="0.25">
      <c r="A497" s="347">
        <f t="shared" ca="1" si="209"/>
        <v>0.01</v>
      </c>
      <c r="B497" s="304">
        <f t="shared" ca="1" si="210"/>
        <v>4.9299999999999393</v>
      </c>
      <c r="D497" s="306">
        <f t="shared" ca="1" si="211"/>
        <v>-2.6562508513653729</v>
      </c>
      <c r="E497" s="307">
        <f t="shared" ca="1" si="212"/>
        <v>-30.553263236331759</v>
      </c>
      <c r="F497" s="304">
        <f t="shared" ca="1" si="213"/>
        <v>30.668510935061082</v>
      </c>
      <c r="G497" s="306">
        <f t="shared" ca="1" si="214"/>
        <v>27.504177326444829</v>
      </c>
      <c r="H497" s="307">
        <f t="shared" ca="1" si="215"/>
        <v>214.68823694853384</v>
      </c>
      <c r="I497" s="304">
        <f t="shared" ca="1" si="216"/>
        <v>216.44287665449821</v>
      </c>
      <c r="J497" s="306">
        <f t="shared" ca="1" si="217"/>
        <v>85.085986617120511</v>
      </c>
      <c r="K497" s="307">
        <f t="shared" ca="1" si="218"/>
        <v>726.47121941987803</v>
      </c>
      <c r="L497" s="304">
        <f t="shared" ca="1" si="203"/>
        <v>731.43698140305526</v>
      </c>
      <c r="M497" s="306">
        <f t="shared" ca="1" si="219"/>
        <v>1.4433782181557728</v>
      </c>
      <c r="N497" s="304">
        <f t="shared" ca="1" si="220"/>
        <v>82.699480141438798</v>
      </c>
      <c r="P497" s="310">
        <f t="shared" ca="1" si="221"/>
        <v>23</v>
      </c>
      <c r="Q497" s="304">
        <f t="shared" ca="1" si="222"/>
        <v>0</v>
      </c>
      <c r="R497" s="306">
        <f t="shared" ca="1" si="223"/>
        <v>0</v>
      </c>
      <c r="S497" s="307">
        <f t="shared" ca="1" si="224"/>
        <v>10.637999999999975</v>
      </c>
      <c r="T497" s="304">
        <f t="shared" ca="1" si="204"/>
        <v>104.35877999999975</v>
      </c>
      <c r="U497" s="311">
        <f t="shared" ca="1" si="205"/>
        <v>0</v>
      </c>
      <c r="V497" s="306">
        <f t="shared" ca="1" si="206"/>
        <v>1.1391265066910645</v>
      </c>
      <c r="W497" s="304">
        <f t="shared" ca="1" si="207"/>
        <v>221.79238842294097</v>
      </c>
      <c r="Y497" s="314" t="str">
        <f t="shared" ca="1" si="225"/>
        <v/>
      </c>
      <c r="Z497" s="315" t="str">
        <f t="shared" ca="1" si="226"/>
        <v/>
      </c>
      <c r="AA497" s="316" t="str">
        <f t="shared" ca="1" si="227"/>
        <v/>
      </c>
      <c r="AC497" s="310" t="e">
        <f t="shared" ca="1" si="228"/>
        <v>#N/A</v>
      </c>
      <c r="AD497" s="323" t="e">
        <f t="shared" ca="1" si="229"/>
        <v>#N/A</v>
      </c>
      <c r="AE497" s="324">
        <f t="shared" ca="1" si="208"/>
        <v>726.47121941987803</v>
      </c>
      <c r="AG497" s="306">
        <f t="shared" ca="1" si="230"/>
        <v>-30.643187944712995</v>
      </c>
      <c r="AH497" s="304">
        <f t="shared" ca="1" si="231"/>
        <v>-20.912643024666487</v>
      </c>
    </row>
    <row r="498" spans="1:34" x14ac:dyDescent="0.25">
      <c r="A498" s="347">
        <f t="shared" ca="1" si="209"/>
        <v>0.01</v>
      </c>
      <c r="B498" s="304">
        <f t="shared" ca="1" si="210"/>
        <v>4.9399999999999391</v>
      </c>
      <c r="D498" s="306">
        <f t="shared" ca="1" si="211"/>
        <v>-2.6493663366687916</v>
      </c>
      <c r="E498" s="307">
        <f t="shared" ca="1" si="212"/>
        <v>-30.49005092823986</v>
      </c>
      <c r="F498" s="304">
        <f t="shared" ca="1" si="213"/>
        <v>30.604939921400501</v>
      </c>
      <c r="G498" s="306">
        <f t="shared" ca="1" si="214"/>
        <v>27.477683663078142</v>
      </c>
      <c r="H498" s="307">
        <f t="shared" ca="1" si="215"/>
        <v>214.38333643925145</v>
      </c>
      <c r="I498" s="304">
        <f t="shared" ca="1" si="216"/>
        <v>216.137081599418</v>
      </c>
      <c r="J498" s="306">
        <f t="shared" ca="1" si="217"/>
        <v>85.360895922068124</v>
      </c>
      <c r="K498" s="307">
        <f t="shared" ca="1" si="218"/>
        <v>728.61657728681701</v>
      </c>
      <c r="L498" s="304">
        <f t="shared" ca="1" si="203"/>
        <v>733.5997541233055</v>
      </c>
      <c r="M498" s="306">
        <f t="shared" ca="1" si="219"/>
        <v>1.4433205421619613</v>
      </c>
      <c r="N498" s="304">
        <f t="shared" ca="1" si="220"/>
        <v>82.696175550414168</v>
      </c>
      <c r="P498" s="310">
        <f t="shared" ca="1" si="221"/>
        <v>23</v>
      </c>
      <c r="Q498" s="304">
        <f t="shared" ca="1" si="222"/>
        <v>0</v>
      </c>
      <c r="R498" s="306">
        <f t="shared" ca="1" si="223"/>
        <v>0</v>
      </c>
      <c r="S498" s="307">
        <f t="shared" ca="1" si="224"/>
        <v>10.637999999999975</v>
      </c>
      <c r="T498" s="304">
        <f t="shared" ca="1" si="204"/>
        <v>104.35877999999975</v>
      </c>
      <c r="U498" s="311">
        <f t="shared" ca="1" si="205"/>
        <v>0</v>
      </c>
      <c r="V498" s="306">
        <f t="shared" ca="1" si="206"/>
        <v>1.1388818257505562</v>
      </c>
      <c r="W498" s="304">
        <f t="shared" ca="1" si="207"/>
        <v>221.11861940149225</v>
      </c>
      <c r="Y498" s="314" t="str">
        <f t="shared" ca="1" si="225"/>
        <v/>
      </c>
      <c r="Z498" s="315" t="str">
        <f t="shared" ca="1" si="226"/>
        <v/>
      </c>
      <c r="AA498" s="316" t="str">
        <f t="shared" ca="1" si="227"/>
        <v/>
      </c>
      <c r="AC498" s="310" t="e">
        <f t="shared" ca="1" si="228"/>
        <v>#N/A</v>
      </c>
      <c r="AD498" s="323" t="e">
        <f t="shared" ca="1" si="229"/>
        <v>#N/A</v>
      </c>
      <c r="AE498" s="324">
        <f t="shared" ca="1" si="208"/>
        <v>728.61657728681701</v>
      </c>
      <c r="AG498" s="306">
        <f t="shared" ca="1" si="230"/>
        <v>-30.579541457243522</v>
      </c>
      <c r="AH498" s="304">
        <f t="shared" ca="1" si="231"/>
        <v>-20.849068285668498</v>
      </c>
    </row>
    <row r="499" spans="1:34" x14ac:dyDescent="0.25">
      <c r="A499" s="347">
        <f t="shared" ca="1" si="209"/>
        <v>0.01</v>
      </c>
      <c r="B499" s="304">
        <f t="shared" ca="1" si="210"/>
        <v>4.9499999999999389</v>
      </c>
      <c r="D499" s="306">
        <f t="shared" ca="1" si="211"/>
        <v>-2.6425071095469352</v>
      </c>
      <c r="E499" s="307">
        <f t="shared" ca="1" si="212"/>
        <v>-30.427075938985894</v>
      </c>
      <c r="F499" s="304">
        <f t="shared" ca="1" si="213"/>
        <v>30.541607587368752</v>
      </c>
      <c r="G499" s="306">
        <f t="shared" ca="1" si="214"/>
        <v>27.451258591982672</v>
      </c>
      <c r="H499" s="307">
        <f t="shared" ca="1" si="215"/>
        <v>214.0790656798616</v>
      </c>
      <c r="I499" s="304">
        <f t="shared" ca="1" si="216"/>
        <v>215.83192062493075</v>
      </c>
      <c r="J499" s="306">
        <f t="shared" ca="1" si="217"/>
        <v>85.635540633343425</v>
      </c>
      <c r="K499" s="307">
        <f t="shared" ca="1" si="218"/>
        <v>730.75888929741257</v>
      </c>
      <c r="L499" s="304">
        <f t="shared" ca="1" si="203"/>
        <v>735.75947163917169</v>
      </c>
      <c r="M499" s="306">
        <f t="shared" ca="1" si="219"/>
        <v>1.4432627586187716</v>
      </c>
      <c r="N499" s="304">
        <f t="shared" ca="1" si="220"/>
        <v>82.692864797264093</v>
      </c>
      <c r="P499" s="310">
        <f t="shared" ca="1" si="221"/>
        <v>23</v>
      </c>
      <c r="Q499" s="304">
        <f t="shared" ca="1" si="222"/>
        <v>0</v>
      </c>
      <c r="R499" s="306">
        <f t="shared" ca="1" si="223"/>
        <v>0</v>
      </c>
      <c r="S499" s="307">
        <f t="shared" ca="1" si="224"/>
        <v>10.637999999999975</v>
      </c>
      <c r="T499" s="304">
        <f t="shared" ca="1" si="204"/>
        <v>104.35877999999975</v>
      </c>
      <c r="U499" s="311">
        <f t="shared" ca="1" si="205"/>
        <v>0</v>
      </c>
      <c r="V499" s="306">
        <f t="shared" ca="1" si="206"/>
        <v>1.1386375427286959</v>
      </c>
      <c r="W499" s="304">
        <f t="shared" ca="1" si="207"/>
        <v>220.44737677924985</v>
      </c>
      <c r="Y499" s="314" t="str">
        <f t="shared" ca="1" si="225"/>
        <v/>
      </c>
      <c r="Z499" s="315" t="str">
        <f t="shared" ca="1" si="226"/>
        <v/>
      </c>
      <c r="AA499" s="316" t="str">
        <f t="shared" ca="1" si="227"/>
        <v/>
      </c>
      <c r="AC499" s="310" t="e">
        <f t="shared" ca="1" si="228"/>
        <v>#N/A</v>
      </c>
      <c r="AD499" s="323" t="e">
        <f t="shared" ca="1" si="229"/>
        <v>#N/A</v>
      </c>
      <c r="AE499" s="324">
        <f t="shared" ca="1" si="208"/>
        <v>730.75888929741257</v>
      </c>
      <c r="AG499" s="306">
        <f t="shared" ca="1" si="230"/>
        <v>-30.516133481195261</v>
      </c>
      <c r="AH499" s="304">
        <f t="shared" ca="1" si="231"/>
        <v>-20.785732224242601</v>
      </c>
    </row>
    <row r="500" spans="1:34" x14ac:dyDescent="0.25">
      <c r="A500" s="347">
        <f t="shared" ca="1" si="209"/>
        <v>0.01</v>
      </c>
      <c r="B500" s="304">
        <f t="shared" ca="1" si="210"/>
        <v>4.9599999999999387</v>
      </c>
      <c r="D500" s="306">
        <f t="shared" ca="1" si="211"/>
        <v>-2.6356730432328268</v>
      </c>
      <c r="E500" s="307">
        <f t="shared" ca="1" si="212"/>
        <v>-30.364337085938629</v>
      </c>
      <c r="F500" s="304">
        <f t="shared" ca="1" si="213"/>
        <v>30.478512743559719</v>
      </c>
      <c r="G500" s="306">
        <f t="shared" ca="1" si="214"/>
        <v>27.424901861550342</v>
      </c>
      <c r="H500" s="307">
        <f t="shared" ca="1" si="215"/>
        <v>213.77542230900221</v>
      </c>
      <c r="I500" s="304">
        <f t="shared" ca="1" si="216"/>
        <v>215.52739135782232</v>
      </c>
      <c r="J500" s="306">
        <f t="shared" ca="1" si="217"/>
        <v>85.909921435611096</v>
      </c>
      <c r="K500" s="307">
        <f t="shared" ca="1" si="218"/>
        <v>732.89816173735687</v>
      </c>
      <c r="L500" s="304">
        <f t="shared" ca="1" si="203"/>
        <v>737.9161402754853</v>
      </c>
      <c r="M500" s="306">
        <f t="shared" ca="1" si="219"/>
        <v>1.4432048673429652</v>
      </c>
      <c r="N500" s="304">
        <f t="shared" ca="1" si="220"/>
        <v>82.689547871489751</v>
      </c>
      <c r="P500" s="310">
        <f t="shared" ca="1" si="221"/>
        <v>23</v>
      </c>
      <c r="Q500" s="304">
        <f t="shared" ca="1" si="222"/>
        <v>0</v>
      </c>
      <c r="R500" s="306">
        <f t="shared" ca="1" si="223"/>
        <v>0</v>
      </c>
      <c r="S500" s="307">
        <f t="shared" ca="1" si="224"/>
        <v>10.637999999999975</v>
      </c>
      <c r="T500" s="304">
        <f t="shared" ca="1" si="204"/>
        <v>104.35877999999975</v>
      </c>
      <c r="U500" s="311">
        <f t="shared" ca="1" si="205"/>
        <v>0</v>
      </c>
      <c r="V500" s="306">
        <f t="shared" ca="1" si="206"/>
        <v>1.13839365667795</v>
      </c>
      <c r="W500" s="304">
        <f t="shared" ca="1" si="207"/>
        <v>219.7786479829783</v>
      </c>
      <c r="Y500" s="314" t="str">
        <f t="shared" ca="1" si="225"/>
        <v/>
      </c>
      <c r="Z500" s="315" t="str">
        <f t="shared" ca="1" si="226"/>
        <v/>
      </c>
      <c r="AA500" s="316" t="str">
        <f t="shared" ca="1" si="227"/>
        <v/>
      </c>
      <c r="AC500" s="310" t="e">
        <f t="shared" ca="1" si="228"/>
        <v>#N/A</v>
      </c>
      <c r="AD500" s="323" t="e">
        <f t="shared" ca="1" si="229"/>
        <v>#N/A</v>
      </c>
      <c r="AE500" s="324">
        <f t="shared" ca="1" si="208"/>
        <v>732.89816173735687</v>
      </c>
      <c r="AG500" s="306">
        <f t="shared" ca="1" si="230"/>
        <v>-30.452962826762707</v>
      </c>
      <c r="AH500" s="304">
        <f t="shared" ca="1" si="231"/>
        <v>-20.722633650991764</v>
      </c>
    </row>
    <row r="501" spans="1:34" x14ac:dyDescent="0.25">
      <c r="A501" s="347">
        <f t="shared" ca="1" si="209"/>
        <v>0.01</v>
      </c>
      <c r="B501" s="304">
        <f t="shared" ca="1" si="210"/>
        <v>4.9699999999999385</v>
      </c>
      <c r="D501" s="306">
        <f t="shared" ca="1" si="211"/>
        <v>-2.6288640117560078</v>
      </c>
      <c r="E501" s="307">
        <f t="shared" ca="1" si="212"/>
        <v>-30.301833193904052</v>
      </c>
      <c r="F501" s="304">
        <f t="shared" ca="1" si="213"/>
        <v>30.415654208047069</v>
      </c>
      <c r="G501" s="306">
        <f t="shared" ca="1" si="214"/>
        <v>27.398613221432782</v>
      </c>
      <c r="H501" s="307">
        <f t="shared" ca="1" si="215"/>
        <v>213.47240397706318</v>
      </c>
      <c r="I501" s="304">
        <f t="shared" ca="1" si="216"/>
        <v>215.22349143670198</v>
      </c>
      <c r="J501" s="306">
        <f t="shared" ca="1" si="217"/>
        <v>86.184039011026016</v>
      </c>
      <c r="K501" s="307">
        <f t="shared" ca="1" si="218"/>
        <v>735.0344008687872</v>
      </c>
      <c r="L501" s="304">
        <f t="shared" ca="1" si="203"/>
        <v>740.06976633341208</v>
      </c>
      <c r="M501" s="306">
        <f t="shared" ca="1" si="219"/>
        <v>1.443146868150756</v>
      </c>
      <c r="N501" s="304">
        <f t="shared" ca="1" si="220"/>
        <v>82.686224762560997</v>
      </c>
      <c r="P501" s="310">
        <f t="shared" ca="1" si="221"/>
        <v>23</v>
      </c>
      <c r="Q501" s="304">
        <f t="shared" ca="1" si="222"/>
        <v>0</v>
      </c>
      <c r="R501" s="306">
        <f t="shared" ca="1" si="223"/>
        <v>0</v>
      </c>
      <c r="S501" s="307">
        <f t="shared" ca="1" si="224"/>
        <v>10.637999999999975</v>
      </c>
      <c r="T501" s="304">
        <f t="shared" ca="1" si="204"/>
        <v>104.35877999999975</v>
      </c>
      <c r="U501" s="311">
        <f t="shared" ca="1" si="205"/>
        <v>0</v>
      </c>
      <c r="V501" s="306">
        <f t="shared" ca="1" si="206"/>
        <v>1.1381501666545066</v>
      </c>
      <c r="W501" s="304">
        <f t="shared" ca="1" si="207"/>
        <v>219.11242051841</v>
      </c>
      <c r="Y501" s="314" t="str">
        <f t="shared" ca="1" si="225"/>
        <v/>
      </c>
      <c r="Z501" s="315" t="str">
        <f t="shared" ca="1" si="226"/>
        <v/>
      </c>
      <c r="AA501" s="316" t="str">
        <f t="shared" ca="1" si="227"/>
        <v/>
      </c>
      <c r="AC501" s="310" t="e">
        <f t="shared" ca="1" si="228"/>
        <v>#N/A</v>
      </c>
      <c r="AD501" s="323" t="e">
        <f t="shared" ca="1" si="229"/>
        <v>#N/A</v>
      </c>
      <c r="AE501" s="324">
        <f t="shared" ca="1" si="208"/>
        <v>735.0344008687872</v>
      </c>
      <c r="AG501" s="306">
        <f t="shared" ca="1" si="230"/>
        <v>-30.390028311618728</v>
      </c>
      <c r="AH501" s="304">
        <f t="shared" ca="1" si="231"/>
        <v>-20.659771383998759</v>
      </c>
    </row>
    <row r="502" spans="1:34" x14ac:dyDescent="0.25">
      <c r="A502" s="347">
        <f t="shared" ca="1" si="209"/>
        <v>0.01</v>
      </c>
      <c r="B502" s="304">
        <f t="shared" ca="1" si="210"/>
        <v>4.9799999999999383</v>
      </c>
      <c r="D502" s="306">
        <f t="shared" ca="1" si="211"/>
        <v>-2.6220798899364937</v>
      </c>
      <c r="E502" s="307">
        <f t="shared" ca="1" si="212"/>
        <v>-30.239563095069151</v>
      </c>
      <c r="F502" s="304">
        <f t="shared" ca="1" si="213"/>
        <v>30.353030806327688</v>
      </c>
      <c r="G502" s="306">
        <f t="shared" ca="1" si="214"/>
        <v>27.372392422533416</v>
      </c>
      <c r="H502" s="307">
        <f t="shared" ca="1" si="215"/>
        <v>213.1700083461125</v>
      </c>
      <c r="I502" s="304">
        <f t="shared" ca="1" si="216"/>
        <v>214.92021851192789</v>
      </c>
      <c r="J502" s="306">
        <f t="shared" ca="1" si="217"/>
        <v>86.457894039245843</v>
      </c>
      <c r="K502" s="307">
        <f t="shared" ca="1" si="218"/>
        <v>737.16761293040304</v>
      </c>
      <c r="L502" s="304">
        <f t="shared" ca="1" si="203"/>
        <v>742.22035609056832</v>
      </c>
      <c r="M502" s="306">
        <f t="shared" ca="1" si="219"/>
        <v>1.4430887608578093</v>
      </c>
      <c r="N502" s="304">
        <f t="shared" ca="1" si="220"/>
        <v>82.682895459916224</v>
      </c>
      <c r="P502" s="310">
        <f t="shared" ca="1" si="221"/>
        <v>23</v>
      </c>
      <c r="Q502" s="304">
        <f t="shared" ca="1" si="222"/>
        <v>0</v>
      </c>
      <c r="R502" s="306">
        <f t="shared" ca="1" si="223"/>
        <v>0</v>
      </c>
      <c r="S502" s="307">
        <f t="shared" ca="1" si="224"/>
        <v>10.637999999999975</v>
      </c>
      <c r="T502" s="304">
        <f t="shared" ca="1" si="204"/>
        <v>104.35877999999975</v>
      </c>
      <c r="U502" s="311">
        <f t="shared" ca="1" si="205"/>
        <v>0</v>
      </c>
      <c r="V502" s="306">
        <f t="shared" ca="1" si="206"/>
        <v>1.1379070717182542</v>
      </c>
      <c r="W502" s="304">
        <f t="shared" ca="1" si="207"/>
        <v>218.44868196964799</v>
      </c>
      <c r="Y502" s="314" t="str">
        <f t="shared" ca="1" si="225"/>
        <v/>
      </c>
      <c r="Z502" s="315" t="str">
        <f t="shared" ca="1" si="226"/>
        <v/>
      </c>
      <c r="AA502" s="316" t="str">
        <f t="shared" ca="1" si="227"/>
        <v/>
      </c>
      <c r="AC502" s="310" t="e">
        <f t="shared" ca="1" si="228"/>
        <v>#N/A</v>
      </c>
      <c r="AD502" s="323" t="e">
        <f t="shared" ca="1" si="229"/>
        <v>#N/A</v>
      </c>
      <c r="AE502" s="324">
        <f t="shared" ca="1" si="208"/>
        <v>737.16761293040304</v>
      </c>
      <c r="AG502" s="306">
        <f t="shared" ca="1" si="230"/>
        <v>-30.327328760857959</v>
      </c>
      <c r="AH502" s="304">
        <f t="shared" ca="1" si="231"/>
        <v>-20.597144248769553</v>
      </c>
    </row>
    <row r="503" spans="1:34" x14ac:dyDescent="0.25">
      <c r="A503" s="347">
        <f t="shared" ca="1" si="209"/>
        <v>0.01</v>
      </c>
      <c r="B503" s="304">
        <f t="shared" ca="1" si="210"/>
        <v>4.989999999999938</v>
      </c>
      <c r="D503" s="306">
        <f t="shared" ca="1" si="211"/>
        <v>-2.6153205533787904</v>
      </c>
      <c r="E503" s="307">
        <f t="shared" ca="1" si="212"/>
        <v>-30.177525628946</v>
      </c>
      <c r="F503" s="304">
        <f t="shared" ca="1" si="213"/>
        <v>30.290641371265451</v>
      </c>
      <c r="G503" s="306">
        <f t="shared" ca="1" si="214"/>
        <v>27.346239216999628</v>
      </c>
      <c r="H503" s="307">
        <f t="shared" ca="1" si="215"/>
        <v>212.86823308982304</v>
      </c>
      <c r="I503" s="304">
        <f t="shared" ca="1" si="216"/>
        <v>214.61757024553373</v>
      </c>
      <c r="J503" s="306">
        <f t="shared" ca="1" si="217"/>
        <v>86.731487197443514</v>
      </c>
      <c r="K503" s="307">
        <f t="shared" ca="1" si="218"/>
        <v>739.29780413758272</v>
      </c>
      <c r="L503" s="304">
        <f t="shared" ca="1" si="203"/>
        <v>744.36791580113925</v>
      </c>
      <c r="M503" s="306">
        <f t="shared" ca="1" si="219"/>
        <v>1.44303054527924</v>
      </c>
      <c r="N503" s="304">
        <f t="shared" ca="1" si="220"/>
        <v>82.679559952962293</v>
      </c>
      <c r="P503" s="310">
        <f t="shared" ca="1" si="221"/>
        <v>23</v>
      </c>
      <c r="Q503" s="304">
        <f t="shared" ca="1" si="222"/>
        <v>0</v>
      </c>
      <c r="R503" s="306">
        <f t="shared" ca="1" si="223"/>
        <v>0</v>
      </c>
      <c r="S503" s="307">
        <f t="shared" ca="1" si="224"/>
        <v>10.637999999999975</v>
      </c>
      <c r="T503" s="304">
        <f t="shared" ca="1" si="204"/>
        <v>104.35877999999975</v>
      </c>
      <c r="U503" s="311">
        <f t="shared" ca="1" si="205"/>
        <v>0</v>
      </c>
      <c r="V503" s="306">
        <f t="shared" ca="1" si="206"/>
        <v>1.1376643709327652</v>
      </c>
      <c r="W503" s="304">
        <f t="shared" ca="1" si="207"/>
        <v>217.78741999857499</v>
      </c>
      <c r="Y503" s="314" t="str">
        <f t="shared" ca="1" si="225"/>
        <v/>
      </c>
      <c r="Z503" s="315" t="str">
        <f t="shared" ca="1" si="226"/>
        <v/>
      </c>
      <c r="AA503" s="316" t="str">
        <f t="shared" ca="1" si="227"/>
        <v/>
      </c>
      <c r="AC503" s="310" t="e">
        <f t="shared" ca="1" si="228"/>
        <v>#N/A</v>
      </c>
      <c r="AD503" s="323" t="e">
        <f t="shared" ca="1" si="229"/>
        <v>#N/A</v>
      </c>
      <c r="AE503" s="324">
        <f t="shared" ca="1" si="208"/>
        <v>739.29780413758272</v>
      </c>
      <c r="AG503" s="306">
        <f t="shared" ca="1" si="230"/>
        <v>-30.264863006940629</v>
      </c>
      <c r="AH503" s="304">
        <f t="shared" ca="1" si="231"/>
        <v>-20.534751078177148</v>
      </c>
    </row>
    <row r="504" spans="1:34" x14ac:dyDescent="0.25">
      <c r="A504" s="347">
        <f t="shared" ca="1" si="209"/>
        <v>0.01</v>
      </c>
      <c r="B504" s="304">
        <f t="shared" ca="1" si="210"/>
        <v>4.9999999999999378</v>
      </c>
      <c r="D504" s="306">
        <f t="shared" ca="1" si="211"/>
        <v>-2.6085858784659832</v>
      </c>
      <c r="E504" s="307">
        <f t="shared" ca="1" si="212"/>
        <v>-30.115719642316598</v>
      </c>
      <c r="F504" s="304">
        <f t="shared" ca="1" si="213"/>
        <v>30.228484743035764</v>
      </c>
      <c r="G504" s="306">
        <f t="shared" ca="1" si="214"/>
        <v>27.320153358214966</v>
      </c>
      <c r="H504" s="307">
        <f t="shared" ca="1" si="215"/>
        <v>212.56707589339987</v>
      </c>
      <c r="I504" s="304">
        <f t="shared" ca="1" si="216"/>
        <v>214.31554431115538</v>
      </c>
      <c r="J504" s="306">
        <f t="shared" ca="1" si="217"/>
        <v>87.004819160319585</v>
      </c>
      <c r="K504" s="307">
        <f t="shared" ca="1" si="218"/>
        <v>741.42498068249881</v>
      </c>
      <c r="L504" s="304">
        <f t="shared" ca="1" si="203"/>
        <v>746.51245169599395</v>
      </c>
      <c r="M504" s="306">
        <f t="shared" ca="1" si="219"/>
        <v>1.4429722212296103</v>
      </c>
      <c r="N504" s="304">
        <f t="shared" ca="1" si="220"/>
        <v>82.676218231074401</v>
      </c>
      <c r="P504" s="310">
        <f t="shared" ca="1" si="221"/>
        <v>23</v>
      </c>
      <c r="Q504" s="304">
        <f t="shared" ca="1" si="222"/>
        <v>0</v>
      </c>
      <c r="R504" s="306">
        <f t="shared" ca="1" si="223"/>
        <v>0</v>
      </c>
      <c r="S504" s="307">
        <f t="shared" ca="1" si="224"/>
        <v>10.637999999999975</v>
      </c>
      <c r="T504" s="304">
        <f t="shared" ca="1" si="204"/>
        <v>104.35877999999975</v>
      </c>
      <c r="U504" s="311">
        <f t="shared" ca="1" si="205"/>
        <v>0</v>
      </c>
      <c r="V504" s="306">
        <f t="shared" ca="1" si="206"/>
        <v>1.1374220633652745</v>
      </c>
      <c r="W504" s="304">
        <f t="shared" ca="1" si="207"/>
        <v>217.12862234426638</v>
      </c>
      <c r="Y504" s="314" t="str">
        <f t="shared" ca="1" si="225"/>
        <v/>
      </c>
      <c r="Z504" s="315" t="str">
        <f t="shared" ca="1" si="226"/>
        <v/>
      </c>
      <c r="AA504" s="316" t="str">
        <f t="shared" ca="1" si="227"/>
        <v/>
      </c>
      <c r="AC504" s="310">
        <f t="shared" ca="1" si="228"/>
        <v>4.9999999999999378</v>
      </c>
      <c r="AD504" s="323">
        <f t="shared" ca="1" si="229"/>
        <v>87.004819160319585</v>
      </c>
      <c r="AE504" s="324">
        <f t="shared" ca="1" si="208"/>
        <v>741.42498068249881</v>
      </c>
      <c r="AG504" s="306">
        <f t="shared" ca="1" si="230"/>
        <v>-30.20262988963702</v>
      </c>
      <c r="AH504" s="304">
        <f t="shared" ca="1" si="231"/>
        <v>-20.472590712406046</v>
      </c>
    </row>
    <row r="505" spans="1:34" x14ac:dyDescent="0.25">
      <c r="A505" s="347">
        <f t="shared" ca="1" si="209"/>
        <v>0.1</v>
      </c>
      <c r="B505" s="304">
        <f t="shared" ca="1" si="210"/>
        <v>5.0999999999999375</v>
      </c>
      <c r="D505" s="306">
        <f t="shared" ca="1" si="211"/>
        <v>-2.6018757423538568</v>
      </c>
      <c r="E505" s="307">
        <f t="shared" ca="1" si="212"/>
        <v>-30.05414398917798</v>
      </c>
      <c r="F505" s="304">
        <f t="shared" ca="1" si="213"/>
        <v>30.166559769070325</v>
      </c>
      <c r="G505" s="306">
        <f t="shared" ca="1" si="214"/>
        <v>27.059965783979582</v>
      </c>
      <c r="H505" s="307">
        <f t="shared" ca="1" si="215"/>
        <v>209.56166149448208</v>
      </c>
      <c r="I505" s="304">
        <f t="shared" ca="1" si="216"/>
        <v>211.30151849089498</v>
      </c>
      <c r="J505" s="306">
        <f t="shared" ca="1" si="217"/>
        <v>89.723825117429314</v>
      </c>
      <c r="K505" s="307">
        <f t="shared" ca="1" si="218"/>
        <v>762.5314175518929</v>
      </c>
      <c r="L505" s="304">
        <f t="shared" ca="1" si="203"/>
        <v>767.79198195045137</v>
      </c>
      <c r="M505" s="306">
        <f t="shared" ca="1" si="219"/>
        <v>1.4423803927284873</v>
      </c>
      <c r="N505" s="304">
        <f t="shared" ca="1" si="220"/>
        <v>82.642308955764491</v>
      </c>
      <c r="P505" s="310">
        <f t="shared" ca="1" si="221"/>
        <v>23</v>
      </c>
      <c r="Q505" s="304">
        <f t="shared" ca="1" si="222"/>
        <v>0</v>
      </c>
      <c r="R505" s="306">
        <f t="shared" ca="1" si="223"/>
        <v>0</v>
      </c>
      <c r="S505" s="307">
        <f t="shared" ca="1" si="224"/>
        <v>10.637999999999975</v>
      </c>
      <c r="T505" s="304">
        <f t="shared" ca="1" si="204"/>
        <v>104.35877999999975</v>
      </c>
      <c r="U505" s="311">
        <f t="shared" ca="1" si="205"/>
        <v>0</v>
      </c>
      <c r="V505" s="306">
        <f t="shared" ca="1" si="206"/>
        <v>1.1350205107252564</v>
      </c>
      <c r="W505" s="304">
        <f t="shared" ca="1" si="207"/>
        <v>210.61875009673963</v>
      </c>
      <c r="Y505" s="314" t="str">
        <f t="shared" ca="1" si="225"/>
        <v/>
      </c>
      <c r="Z505" s="315" t="str">
        <f t="shared" ca="1" si="226"/>
        <v/>
      </c>
      <c r="AA505" s="316" t="str">
        <f t="shared" ca="1" si="227"/>
        <v/>
      </c>
      <c r="AC505" s="310" t="e">
        <f t="shared" ca="1" si="228"/>
        <v>#N/A</v>
      </c>
      <c r="AD505" s="323" t="e">
        <f t="shared" ca="1" si="229"/>
        <v>#N/A</v>
      </c>
      <c r="AE505" s="324">
        <f t="shared" ca="1" si="208"/>
        <v>762.5314175518929</v>
      </c>
      <c r="AG505" s="306">
        <f t="shared" ca="1" si="230"/>
        <v>-30.140628255972285</v>
      </c>
      <c r="AH505" s="304">
        <f t="shared" ca="1" si="231"/>
        <v>-20.410661998897055</v>
      </c>
    </row>
    <row r="506" spans="1:34" x14ac:dyDescent="0.25">
      <c r="A506" s="347">
        <f t="shared" ca="1" si="209"/>
        <v>0.1</v>
      </c>
      <c r="B506" s="304">
        <f t="shared" ca="1" si="210"/>
        <v>5.1999999999999371</v>
      </c>
      <c r="D506" s="306">
        <f t="shared" ca="1" si="211"/>
        <v>-2.5354886466547422</v>
      </c>
      <c r="E506" s="307">
        <f t="shared" ca="1" si="212"/>
        <v>-29.445694210963708</v>
      </c>
      <c r="F506" s="304">
        <f t="shared" ca="1" si="213"/>
        <v>29.554654629057953</v>
      </c>
      <c r="G506" s="306">
        <f t="shared" ca="1" si="214"/>
        <v>26.806416919314106</v>
      </c>
      <c r="H506" s="307">
        <f t="shared" ca="1" si="215"/>
        <v>206.61709207338572</v>
      </c>
      <c r="I506" s="304">
        <f t="shared" ca="1" si="216"/>
        <v>208.34876223513794</v>
      </c>
      <c r="J506" s="306">
        <f t="shared" ca="1" si="217"/>
        <v>92.417144252593999</v>
      </c>
      <c r="K506" s="307">
        <f t="shared" ca="1" si="218"/>
        <v>783.34035523028626</v>
      </c>
      <c r="L506" s="304">
        <f t="shared" ca="1" si="203"/>
        <v>788.77312370802531</v>
      </c>
      <c r="M506" s="306">
        <f t="shared" ca="1" si="219"/>
        <v>1.4417774129692675</v>
      </c>
      <c r="N506" s="304">
        <f t="shared" ca="1" si="220"/>
        <v>82.607760760429386</v>
      </c>
      <c r="P506" s="310">
        <f t="shared" ca="1" si="221"/>
        <v>23</v>
      </c>
      <c r="Q506" s="304">
        <f t="shared" ca="1" si="222"/>
        <v>0</v>
      </c>
      <c r="R506" s="306">
        <f t="shared" ca="1" si="223"/>
        <v>0</v>
      </c>
      <c r="S506" s="307">
        <f t="shared" ca="1" si="224"/>
        <v>10.637999999999975</v>
      </c>
      <c r="T506" s="304">
        <f t="shared" ca="1" si="204"/>
        <v>104.35877999999975</v>
      </c>
      <c r="U506" s="311">
        <f t="shared" ca="1" si="205"/>
        <v>0</v>
      </c>
      <c r="V506" s="306">
        <f t="shared" ca="1" si="206"/>
        <v>1.1326575835495458</v>
      </c>
      <c r="W506" s="304">
        <f t="shared" ca="1" si="207"/>
        <v>204.34714382454592</v>
      </c>
      <c r="Y506" s="314" t="str">
        <f t="shared" ca="1" si="225"/>
        <v/>
      </c>
      <c r="Z506" s="315" t="str">
        <f t="shared" ca="1" si="226"/>
        <v/>
      </c>
      <c r="AA506" s="316" t="str">
        <f t="shared" ca="1" si="227"/>
        <v/>
      </c>
      <c r="AC506" s="310" t="e">
        <f t="shared" ca="1" si="228"/>
        <v>#N/A</v>
      </c>
      <c r="AD506" s="323" t="e">
        <f t="shared" ca="1" si="229"/>
        <v>#N/A</v>
      </c>
      <c r="AE506" s="324">
        <f t="shared" ca="1" si="208"/>
        <v>783.34035523028626</v>
      </c>
      <c r="AG506" s="306">
        <f t="shared" ca="1" si="230"/>
        <v>-29.527941319555666</v>
      </c>
      <c r="AH506" s="304">
        <f t="shared" ca="1" si="231"/>
        <v>-19.798716873166022</v>
      </c>
    </row>
    <row r="507" spans="1:34" x14ac:dyDescent="0.25">
      <c r="A507" s="347">
        <f t="shared" ca="1" si="209"/>
        <v>0.1</v>
      </c>
      <c r="B507" s="304">
        <f t="shared" ca="1" si="210"/>
        <v>5.2999999999999368</v>
      </c>
      <c r="D507" s="306">
        <f t="shared" ca="1" si="211"/>
        <v>-2.4714761798888802</v>
      </c>
      <c r="E507" s="307">
        <f t="shared" ca="1" si="212"/>
        <v>-28.85951426198838</v>
      </c>
      <c r="F507" s="304">
        <f t="shared" ca="1" si="213"/>
        <v>28.965147297151258</v>
      </c>
      <c r="G507" s="306">
        <f t="shared" ca="1" si="214"/>
        <v>26.559269301325219</v>
      </c>
      <c r="H507" s="307">
        <f t="shared" ca="1" si="215"/>
        <v>203.73114064718689</v>
      </c>
      <c r="I507" s="304">
        <f t="shared" ca="1" si="216"/>
        <v>205.45503755134396</v>
      </c>
      <c r="J507" s="306">
        <f t="shared" ca="1" si="217"/>
        <v>95.085428563625968</v>
      </c>
      <c r="K507" s="307">
        <f t="shared" ca="1" si="218"/>
        <v>803.85776686631493</v>
      </c>
      <c r="L507" s="304">
        <f t="shared" ca="1" si="203"/>
        <v>809.46188797029049</v>
      </c>
      <c r="M507" s="306">
        <f t="shared" ca="1" si="219"/>
        <v>1.441163085289674</v>
      </c>
      <c r="N507" s="304">
        <f t="shared" ca="1" si="220"/>
        <v>82.572562377150618</v>
      </c>
      <c r="P507" s="310">
        <f t="shared" ca="1" si="221"/>
        <v>23</v>
      </c>
      <c r="Q507" s="304">
        <f t="shared" ca="1" si="222"/>
        <v>0</v>
      </c>
      <c r="R507" s="306">
        <f t="shared" ca="1" si="223"/>
        <v>0</v>
      </c>
      <c r="S507" s="307">
        <f t="shared" ca="1" si="224"/>
        <v>10.637999999999975</v>
      </c>
      <c r="T507" s="304">
        <f t="shared" ca="1" si="204"/>
        <v>104.35877999999975</v>
      </c>
      <c r="U507" s="311">
        <f t="shared" ca="1" si="205"/>
        <v>0</v>
      </c>
      <c r="V507" s="306">
        <f t="shared" ca="1" si="206"/>
        <v>1.1303323883054439</v>
      </c>
      <c r="W507" s="304">
        <f t="shared" ca="1" si="207"/>
        <v>198.30234307644832</v>
      </c>
      <c r="Y507" s="314" t="str">
        <f t="shared" ca="1" si="225"/>
        <v/>
      </c>
      <c r="Z507" s="315" t="str">
        <f t="shared" ca="1" si="226"/>
        <v/>
      </c>
      <c r="AA507" s="316" t="str">
        <f t="shared" ca="1" si="227"/>
        <v/>
      </c>
      <c r="AC507" s="310" t="e">
        <f t="shared" ca="1" si="228"/>
        <v>#N/A</v>
      </c>
      <c r="AD507" s="323" t="e">
        <f t="shared" ca="1" si="229"/>
        <v>#N/A</v>
      </c>
      <c r="AE507" s="324">
        <f t="shared" ca="1" si="208"/>
        <v>803.85776686631493</v>
      </c>
      <c r="AG507" s="306">
        <f t="shared" ca="1" si="230"/>
        <v>-28.937634530040359</v>
      </c>
      <c r="AH507" s="304">
        <f t="shared" ca="1" si="231"/>
        <v>-19.209169376249896</v>
      </c>
    </row>
    <row r="508" spans="1:34" x14ac:dyDescent="0.25">
      <c r="A508" s="347">
        <f t="shared" ca="1" si="209"/>
        <v>0.1</v>
      </c>
      <c r="B508" s="304">
        <f t="shared" ca="1" si="210"/>
        <v>5.3999999999999364</v>
      </c>
      <c r="D508" s="306">
        <f t="shared" ca="1" si="211"/>
        <v>-2.4097233618756784</v>
      </c>
      <c r="E508" s="307">
        <f t="shared" ca="1" si="212"/>
        <v>-28.294532973752013</v>
      </c>
      <c r="F508" s="304">
        <f t="shared" ca="1" si="213"/>
        <v>28.39696045149039</v>
      </c>
      <c r="G508" s="306">
        <f t="shared" ca="1" si="214"/>
        <v>26.318296965137652</v>
      </c>
      <c r="H508" s="307">
        <f t="shared" ca="1" si="215"/>
        <v>200.90168734981168</v>
      </c>
      <c r="I508" s="304">
        <f t="shared" ca="1" si="216"/>
        <v>202.61821422356545</v>
      </c>
      <c r="J508" s="306">
        <f t="shared" ca="1" si="217"/>
        <v>97.72930687694911</v>
      </c>
      <c r="K508" s="307">
        <f t="shared" ca="1" si="218"/>
        <v>824.08940826616481</v>
      </c>
      <c r="L508" s="304">
        <f t="shared" ca="1" si="203"/>
        <v>829.86406732616547</v>
      </c>
      <c r="M508" s="306">
        <f t="shared" ca="1" si="219"/>
        <v>1.4405372070092153</v>
      </c>
      <c r="N508" s="304">
        <f t="shared" ca="1" si="220"/>
        <v>82.536702193191431</v>
      </c>
      <c r="P508" s="310">
        <f t="shared" ca="1" si="221"/>
        <v>23</v>
      </c>
      <c r="Q508" s="304">
        <f t="shared" ca="1" si="222"/>
        <v>0</v>
      </c>
      <c r="R508" s="306">
        <f t="shared" ca="1" si="223"/>
        <v>0</v>
      </c>
      <c r="S508" s="307">
        <f t="shared" ca="1" si="224"/>
        <v>10.637999999999975</v>
      </c>
      <c r="T508" s="304">
        <f t="shared" ca="1" si="204"/>
        <v>104.35877999999975</v>
      </c>
      <c r="U508" s="311">
        <f t="shared" ca="1" si="205"/>
        <v>0</v>
      </c>
      <c r="V508" s="306">
        <f t="shared" ca="1" si="206"/>
        <v>1.1280440654249857</v>
      </c>
      <c r="W508" s="304">
        <f t="shared" ca="1" si="207"/>
        <v>192.47357687753129</v>
      </c>
      <c r="Y508" s="314" t="str">
        <f t="shared" ca="1" si="225"/>
        <v/>
      </c>
      <c r="Z508" s="315" t="str">
        <f t="shared" ca="1" si="226"/>
        <v/>
      </c>
      <c r="AA508" s="316" t="str">
        <f t="shared" ca="1" si="227"/>
        <v/>
      </c>
      <c r="AC508" s="310" t="e">
        <f t="shared" ca="1" si="228"/>
        <v>#N/A</v>
      </c>
      <c r="AD508" s="323" t="e">
        <f t="shared" ca="1" si="229"/>
        <v>#N/A</v>
      </c>
      <c r="AE508" s="324">
        <f t="shared" ca="1" si="208"/>
        <v>824.08940826616481</v>
      </c>
      <c r="AG508" s="306">
        <f t="shared" ca="1" si="230"/>
        <v>-28.368630129476045</v>
      </c>
      <c r="AH508" s="304">
        <f t="shared" ca="1" si="231"/>
        <v>-18.640942195567661</v>
      </c>
    </row>
    <row r="509" spans="1:34" x14ac:dyDescent="0.25">
      <c r="A509" s="347">
        <f t="shared" ca="1" si="209"/>
        <v>0.1</v>
      </c>
      <c r="B509" s="304">
        <f t="shared" ca="1" si="210"/>
        <v>5.4999999999999361</v>
      </c>
      <c r="D509" s="306">
        <f t="shared" ca="1" si="211"/>
        <v>-2.3501221234790699</v>
      </c>
      <c r="E509" s="307">
        <f t="shared" ca="1" si="212"/>
        <v>-27.749743620587957</v>
      </c>
      <c r="F509" s="304">
        <f t="shared" ca="1" si="213"/>
        <v>27.849081582767283</v>
      </c>
      <c r="G509" s="306">
        <f t="shared" ca="1" si="214"/>
        <v>26.083284752789744</v>
      </c>
      <c r="H509" s="307">
        <f t="shared" ca="1" si="215"/>
        <v>198.12671298775288</v>
      </c>
      <c r="I509" s="304">
        <f t="shared" ca="1" si="216"/>
        <v>199.83626333282584</v>
      </c>
      <c r="J509" s="306">
        <f t="shared" ca="1" si="217"/>
        <v>100.34938596284547</v>
      </c>
      <c r="K509" s="307">
        <f t="shared" ca="1" si="218"/>
        <v>844.04082828304308</v>
      </c>
      <c r="L509" s="304">
        <f t="shared" ca="1" si="203"/>
        <v>849.98524638480967</v>
      </c>
      <c r="M509" s="306">
        <f t="shared" ca="1" si="219"/>
        <v>1.4398995692365715</v>
      </c>
      <c r="N509" s="304">
        <f t="shared" ca="1" si="220"/>
        <v>82.500168239960814</v>
      </c>
      <c r="P509" s="310">
        <f t="shared" ca="1" si="221"/>
        <v>23</v>
      </c>
      <c r="Q509" s="304">
        <f t="shared" ca="1" si="222"/>
        <v>0</v>
      </c>
      <c r="R509" s="306">
        <f t="shared" ca="1" si="223"/>
        <v>0</v>
      </c>
      <c r="S509" s="307">
        <f t="shared" ca="1" si="224"/>
        <v>10.637999999999975</v>
      </c>
      <c r="T509" s="304">
        <f t="shared" ca="1" si="204"/>
        <v>104.35877999999975</v>
      </c>
      <c r="U509" s="311">
        <f t="shared" ca="1" si="205"/>
        <v>0</v>
      </c>
      <c r="V509" s="306">
        <f t="shared" ca="1" si="206"/>
        <v>1.1257917876226982</v>
      </c>
      <c r="W509" s="304">
        <f t="shared" ca="1" si="207"/>
        <v>186.85071429300552</v>
      </c>
      <c r="Y509" s="314" t="str">
        <f t="shared" ca="1" si="225"/>
        <v/>
      </c>
      <c r="Z509" s="315" t="str">
        <f t="shared" ca="1" si="226"/>
        <v/>
      </c>
      <c r="AA509" s="316" t="str">
        <f t="shared" ca="1" si="227"/>
        <v/>
      </c>
      <c r="AC509" s="310" t="e">
        <f t="shared" ca="1" si="228"/>
        <v>#N/A</v>
      </c>
      <c r="AD509" s="323" t="e">
        <f t="shared" ca="1" si="229"/>
        <v>#N/A</v>
      </c>
      <c r="AE509" s="324">
        <f t="shared" ca="1" si="208"/>
        <v>844.04082828304308</v>
      </c>
      <c r="AG509" s="306">
        <f t="shared" ca="1" si="230"/>
        <v>-27.819915156449277</v>
      </c>
      <c r="AH509" s="304">
        <f t="shared" ca="1" si="231"/>
        <v>-18.093022831127254</v>
      </c>
    </row>
    <row r="510" spans="1:34" x14ac:dyDescent="0.25">
      <c r="A510" s="347">
        <f t="shared" ca="1" si="209"/>
        <v>0.1</v>
      </c>
      <c r="B510" s="304">
        <f t="shared" ca="1" si="210"/>
        <v>5.5999999999999357</v>
      </c>
      <c r="D510" s="306">
        <f t="shared" ca="1" si="211"/>
        <v>-2.2925708109173186</v>
      </c>
      <c r="E510" s="307">
        <f t="shared" ca="1" si="212"/>
        <v>-27.224199299040912</v>
      </c>
      <c r="F510" s="304">
        <f t="shared" ca="1" si="213"/>
        <v>27.320558347094039</v>
      </c>
      <c r="G510" s="306">
        <f t="shared" ca="1" si="214"/>
        <v>25.854027671698013</v>
      </c>
      <c r="H510" s="307">
        <f t="shared" ca="1" si="215"/>
        <v>195.4042930578488</v>
      </c>
      <c r="I510" s="304">
        <f t="shared" ca="1" si="216"/>
        <v>197.10725124227821</v>
      </c>
      <c r="J510" s="306">
        <f t="shared" ca="1" si="217"/>
        <v>102.94625158406986</v>
      </c>
      <c r="K510" s="307">
        <f t="shared" ca="1" si="218"/>
        <v>863.71737858532322</v>
      </c>
      <c r="L510" s="304">
        <f t="shared" ca="1" si="203"/>
        <v>869.83081158666323</v>
      </c>
      <c r="M510" s="306">
        <f t="shared" ca="1" si="219"/>
        <v>1.4392499566684964</v>
      </c>
      <c r="N510" s="304">
        <f t="shared" ca="1" si="220"/>
        <v>82.462948181491456</v>
      </c>
      <c r="P510" s="310">
        <f t="shared" ca="1" si="221"/>
        <v>23</v>
      </c>
      <c r="Q510" s="304">
        <f t="shared" ca="1" si="222"/>
        <v>0</v>
      </c>
      <c r="R510" s="306">
        <f t="shared" ca="1" si="223"/>
        <v>0</v>
      </c>
      <c r="S510" s="307">
        <f t="shared" ca="1" si="224"/>
        <v>10.637999999999975</v>
      </c>
      <c r="T510" s="304">
        <f t="shared" ca="1" si="204"/>
        <v>104.35877999999975</v>
      </c>
      <c r="U510" s="311">
        <f t="shared" ca="1" si="205"/>
        <v>0</v>
      </c>
      <c r="V510" s="306">
        <f t="shared" ca="1" si="206"/>
        <v>1.1235747583167501</v>
      </c>
      <c r="W510" s="304">
        <f t="shared" ca="1" si="207"/>
        <v>181.42421909693203</v>
      </c>
      <c r="Y510" s="314" t="str">
        <f t="shared" ca="1" si="225"/>
        <v/>
      </c>
      <c r="Z510" s="315" t="str">
        <f t="shared" ca="1" si="226"/>
        <v/>
      </c>
      <c r="AA510" s="316" t="str">
        <f t="shared" ca="1" si="227"/>
        <v/>
      </c>
      <c r="AC510" s="310" t="e">
        <f t="shared" ca="1" si="228"/>
        <v>#N/A</v>
      </c>
      <c r="AD510" s="323" t="e">
        <f t="shared" ca="1" si="229"/>
        <v>#N/A</v>
      </c>
      <c r="AE510" s="324">
        <f t="shared" ca="1" si="208"/>
        <v>863.71737858532322</v>
      </c>
      <c r="AG510" s="306">
        <f t="shared" ca="1" si="230"/>
        <v>-27.290536798301495</v>
      </c>
      <c r="AH510" s="304">
        <f t="shared" ca="1" si="231"/>
        <v>-17.564458948393117</v>
      </c>
    </row>
    <row r="511" spans="1:34" x14ac:dyDescent="0.25">
      <c r="A511" s="347">
        <f t="shared" ca="1" si="209"/>
        <v>0.1</v>
      </c>
      <c r="B511" s="304">
        <f t="shared" ca="1" si="210"/>
        <v>5.6999999999999353</v>
      </c>
      <c r="D511" s="306">
        <f t="shared" ca="1" si="211"/>
        <v>-2.2369737312331606</v>
      </c>
      <c r="E511" s="307">
        <f t="shared" ca="1" si="212"/>
        <v>-26.717008690916501</v>
      </c>
      <c r="F511" s="304">
        <f t="shared" ca="1" si="213"/>
        <v>26.810494304744459</v>
      </c>
      <c r="G511" s="306">
        <f t="shared" ca="1" si="214"/>
        <v>25.630330298574698</v>
      </c>
      <c r="H511" s="307">
        <f t="shared" ca="1" si="215"/>
        <v>192.73259218875717</v>
      </c>
      <c r="I511" s="304">
        <f t="shared" ca="1" si="216"/>
        <v>194.42933400855904</v>
      </c>
      <c r="J511" s="306">
        <f t="shared" ca="1" si="217"/>
        <v>105.52046948258349</v>
      </c>
      <c r="K511" s="307">
        <f t="shared" ca="1" si="218"/>
        <v>883.12422284765353</v>
      </c>
      <c r="L511" s="304">
        <f t="shared" ca="1" si="203"/>
        <v>889.40596043656956</v>
      </c>
      <c r="M511" s="306">
        <f t="shared" ca="1" si="219"/>
        <v>1.4385881473798472</v>
      </c>
      <c r="N511" s="304">
        <f t="shared" ca="1" si="220"/>
        <v>82.4250293024093</v>
      </c>
      <c r="P511" s="310">
        <f t="shared" ca="1" si="221"/>
        <v>23</v>
      </c>
      <c r="Q511" s="304">
        <f t="shared" ca="1" si="222"/>
        <v>0</v>
      </c>
      <c r="R511" s="306">
        <f t="shared" ca="1" si="223"/>
        <v>0</v>
      </c>
      <c r="S511" s="307">
        <f t="shared" ca="1" si="224"/>
        <v>10.637999999999975</v>
      </c>
      <c r="T511" s="304">
        <f t="shared" ca="1" si="204"/>
        <v>104.35877999999975</v>
      </c>
      <c r="U511" s="311">
        <f t="shared" ca="1" si="205"/>
        <v>0</v>
      </c>
      <c r="V511" s="306">
        <f t="shared" ca="1" si="206"/>
        <v>1.1213922101459532</v>
      </c>
      <c r="W511" s="304">
        <f t="shared" ca="1" si="207"/>
        <v>176.18510815962523</v>
      </c>
      <c r="Y511" s="314" t="str">
        <f t="shared" ca="1" si="225"/>
        <v/>
      </c>
      <c r="Z511" s="315" t="str">
        <f t="shared" ca="1" si="226"/>
        <v/>
      </c>
      <c r="AA511" s="316" t="str">
        <f t="shared" ca="1" si="227"/>
        <v/>
      </c>
      <c r="AC511" s="310" t="e">
        <f t="shared" ca="1" si="228"/>
        <v>#N/A</v>
      </c>
      <c r="AD511" s="323" t="e">
        <f t="shared" ca="1" si="229"/>
        <v>#N/A</v>
      </c>
      <c r="AE511" s="324">
        <f t="shared" ca="1" si="208"/>
        <v>883.12422284765353</v>
      </c>
      <c r="AG511" s="306">
        <f t="shared" ca="1" si="230"/>
        <v>-26.779598129188013</v>
      </c>
      <c r="AH511" s="304">
        <f t="shared" ca="1" si="231"/>
        <v>-17.054354117026929</v>
      </c>
    </row>
    <row r="512" spans="1:34" x14ac:dyDescent="0.25">
      <c r="A512" s="347">
        <f t="shared" ca="1" si="209"/>
        <v>0.1</v>
      </c>
      <c r="B512" s="304">
        <f t="shared" ca="1" si="210"/>
        <v>5.799999999999935</v>
      </c>
      <c r="D512" s="306">
        <f t="shared" ca="1" si="211"/>
        <v>-2.1832407350513048</v>
      </c>
      <c r="E512" s="307">
        <f t="shared" ca="1" si="212"/>
        <v>-26.227332173901999</v>
      </c>
      <c r="F512" s="304">
        <f t="shared" ca="1" si="213"/>
        <v>26.318045008461063</v>
      </c>
      <c r="G512" s="306">
        <f t="shared" ca="1" si="214"/>
        <v>25.412006225069568</v>
      </c>
      <c r="H512" s="307">
        <f t="shared" ca="1" si="215"/>
        <v>190.10985897136698</v>
      </c>
      <c r="I512" s="304">
        <f t="shared" ca="1" si="216"/>
        <v>191.80075218438537</v>
      </c>
      <c r="J512" s="306">
        <f t="shared" ca="1" si="217"/>
        <v>108.07258630876571</v>
      </c>
      <c r="K512" s="307">
        <f t="shared" ca="1" si="218"/>
        <v>902.26634540565976</v>
      </c>
      <c r="L512" s="304">
        <f t="shared" ca="1" si="203"/>
        <v>908.71571019937301</v>
      </c>
      <c r="M512" s="306">
        <f t="shared" ca="1" si="219"/>
        <v>1.4379139126043283</v>
      </c>
      <c r="N512" s="304">
        <f t="shared" ca="1" si="220"/>
        <v>82.386398495371125</v>
      </c>
      <c r="P512" s="310">
        <f t="shared" ca="1" si="221"/>
        <v>23</v>
      </c>
      <c r="Q512" s="304">
        <f t="shared" ca="1" si="222"/>
        <v>0</v>
      </c>
      <c r="R512" s="306">
        <f t="shared" ca="1" si="223"/>
        <v>0</v>
      </c>
      <c r="S512" s="307">
        <f t="shared" ca="1" si="224"/>
        <v>10.637999999999975</v>
      </c>
      <c r="T512" s="304">
        <f t="shared" ca="1" si="204"/>
        <v>104.35877999999975</v>
      </c>
      <c r="U512" s="311">
        <f t="shared" ca="1" si="205"/>
        <v>0</v>
      </c>
      <c r="V512" s="306">
        <f t="shared" ca="1" si="206"/>
        <v>1.1192434035757204</v>
      </c>
      <c r="W512" s="304">
        <f t="shared" ca="1" si="207"/>
        <v>171.12491320801882</v>
      </c>
      <c r="Y512" s="314" t="str">
        <f t="shared" ca="1" si="225"/>
        <v/>
      </c>
      <c r="Z512" s="315" t="str">
        <f t="shared" ca="1" si="226"/>
        <v/>
      </c>
      <c r="AA512" s="316" t="str">
        <f t="shared" ca="1" si="227"/>
        <v/>
      </c>
      <c r="AC512" s="310" t="e">
        <f t="shared" ca="1" si="228"/>
        <v>#N/A</v>
      </c>
      <c r="AD512" s="323" t="e">
        <f t="shared" ca="1" si="229"/>
        <v>#N/A</v>
      </c>
      <c r="AE512" s="324">
        <f t="shared" ca="1" si="208"/>
        <v>902.26634540565976</v>
      </c>
      <c r="AG512" s="306">
        <f t="shared" ca="1" si="230"/>
        <v>-26.28625419766858</v>
      </c>
      <c r="AH512" s="304">
        <f t="shared" ca="1" si="231"/>
        <v>-16.561863899193987</v>
      </c>
    </row>
    <row r="513" spans="1:34" x14ac:dyDescent="0.25">
      <c r="A513" s="347">
        <f t="shared" ca="1" si="209"/>
        <v>0.1</v>
      </c>
      <c r="B513" s="304">
        <f t="shared" ca="1" si="210"/>
        <v>5.8999999999999346</v>
      </c>
      <c r="D513" s="306">
        <f t="shared" ca="1" si="211"/>
        <v>-2.1312868331566559</v>
      </c>
      <c r="E513" s="307">
        <f t="shared" ca="1" si="212"/>
        <v>-25.754378247445288</v>
      </c>
      <c r="F513" s="304">
        <f t="shared" ca="1" si="213"/>
        <v>25.842414408829335</v>
      </c>
      <c r="G513" s="306">
        <f t="shared" ca="1" si="214"/>
        <v>25.198877541753902</v>
      </c>
      <c r="H513" s="307">
        <f t="shared" ca="1" si="215"/>
        <v>187.53442114662244</v>
      </c>
      <c r="I513" s="304">
        <f t="shared" ca="1" si="216"/>
        <v>189.21982598069118</v>
      </c>
      <c r="J513" s="306">
        <f t="shared" ca="1" si="217"/>
        <v>110.60313049710687</v>
      </c>
      <c r="K513" s="307">
        <f t="shared" ca="1" si="218"/>
        <v>921.14855941155929</v>
      </c>
      <c r="L513" s="304">
        <f t="shared" ca="1" si="203"/>
        <v>927.76490609515463</v>
      </c>
      <c r="M513" s="306">
        <f t="shared" ca="1" si="219"/>
        <v>1.4372270165055161</v>
      </c>
      <c r="N513" s="304">
        <f t="shared" ca="1" si="220"/>
        <v>82.347042247945183</v>
      </c>
      <c r="P513" s="310">
        <f t="shared" ca="1" si="221"/>
        <v>23</v>
      </c>
      <c r="Q513" s="304">
        <f t="shared" ca="1" si="222"/>
        <v>0</v>
      </c>
      <c r="R513" s="306">
        <f t="shared" ca="1" si="223"/>
        <v>0</v>
      </c>
      <c r="S513" s="307">
        <f t="shared" ca="1" si="224"/>
        <v>10.637999999999975</v>
      </c>
      <c r="T513" s="304">
        <f t="shared" ca="1" si="204"/>
        <v>104.35877999999975</v>
      </c>
      <c r="U513" s="311">
        <f t="shared" ca="1" si="205"/>
        <v>0</v>
      </c>
      <c r="V513" s="306">
        <f t="shared" ca="1" si="206"/>
        <v>1.1171276255866425</v>
      </c>
      <c r="W513" s="304">
        <f t="shared" ca="1" si="207"/>
        <v>166.23564564910791</v>
      </c>
      <c r="Y513" s="314" t="str">
        <f t="shared" ca="1" si="225"/>
        <v/>
      </c>
      <c r="Z513" s="315" t="str">
        <f t="shared" ca="1" si="226"/>
        <v/>
      </c>
      <c r="AA513" s="316" t="str">
        <f t="shared" ca="1" si="227"/>
        <v/>
      </c>
      <c r="AC513" s="310" t="e">
        <f t="shared" ca="1" si="228"/>
        <v>#N/A</v>
      </c>
      <c r="AD513" s="323" t="e">
        <f t="shared" ca="1" si="229"/>
        <v>#N/A</v>
      </c>
      <c r="AE513" s="324">
        <f t="shared" ca="1" si="208"/>
        <v>921.14855941155929</v>
      </c>
      <c r="AG513" s="306">
        <f t="shared" ca="1" si="230"/>
        <v>-25.809708431329391</v>
      </c>
      <c r="AH513" s="304">
        <f t="shared" ca="1" si="231"/>
        <v>-16.086192254936947</v>
      </c>
    </row>
    <row r="514" spans="1:34" x14ac:dyDescent="0.25">
      <c r="A514" s="347">
        <f t="shared" ca="1" si="209"/>
        <v>0.1</v>
      </c>
      <c r="B514" s="304">
        <f t="shared" ca="1" si="210"/>
        <v>5.9999999999999343</v>
      </c>
      <c r="D514" s="306">
        <f t="shared" ca="1" si="211"/>
        <v>-2.0810318437858908</v>
      </c>
      <c r="E514" s="307">
        <f t="shared" ca="1" si="212"/>
        <v>-25.29740024492822</v>
      </c>
      <c r="F514" s="304">
        <f t="shared" ca="1" si="213"/>
        <v>25.382851547589077</v>
      </c>
      <c r="G514" s="306">
        <f t="shared" ca="1" si="214"/>
        <v>24.990774357375312</v>
      </c>
      <c r="H514" s="307">
        <f t="shared" ca="1" si="215"/>
        <v>185.00468112212963</v>
      </c>
      <c r="I514" s="304">
        <f t="shared" ca="1" si="216"/>
        <v>186.68495075951387</v>
      </c>
      <c r="J514" s="306">
        <f t="shared" ca="1" si="217"/>
        <v>113.11261309206334</v>
      </c>
      <c r="K514" s="307">
        <f t="shared" ca="1" si="218"/>
        <v>939.77551452499688</v>
      </c>
      <c r="L514" s="304">
        <f t="shared" ca="1" si="203"/>
        <v>946.55822902832426</v>
      </c>
      <c r="M514" s="306">
        <f t="shared" ca="1" si="219"/>
        <v>1.4365272159377018</v>
      </c>
      <c r="N514" s="304">
        <f t="shared" ca="1" si="220"/>
        <v>82.306946628908563</v>
      </c>
      <c r="P514" s="310">
        <f t="shared" ca="1" si="221"/>
        <v>23</v>
      </c>
      <c r="Q514" s="304">
        <f t="shared" ca="1" si="222"/>
        <v>0</v>
      </c>
      <c r="R514" s="306">
        <f t="shared" ca="1" si="223"/>
        <v>0</v>
      </c>
      <c r="S514" s="307">
        <f t="shared" ca="1" si="224"/>
        <v>10.637999999999975</v>
      </c>
      <c r="T514" s="304">
        <f t="shared" ca="1" si="204"/>
        <v>104.35877999999975</v>
      </c>
      <c r="U514" s="311">
        <f t="shared" ca="1" si="205"/>
        <v>0</v>
      </c>
      <c r="V514" s="306">
        <f t="shared" ca="1" si="206"/>
        <v>1.1150441884398841</v>
      </c>
      <c r="W514" s="304">
        <f t="shared" ca="1" si="207"/>
        <v>161.50976417833547</v>
      </c>
      <c r="Y514" s="314" t="str">
        <f t="shared" ca="1" si="225"/>
        <v/>
      </c>
      <c r="Z514" s="315" t="str">
        <f t="shared" ca="1" si="226"/>
        <v/>
      </c>
      <c r="AA514" s="316" t="str">
        <f t="shared" ca="1" si="227"/>
        <v/>
      </c>
      <c r="AC514" s="310">
        <f t="shared" ca="1" si="228"/>
        <v>5.9999999999999343</v>
      </c>
      <c r="AD514" s="323">
        <f t="shared" ca="1" si="229"/>
        <v>113.11261309206334</v>
      </c>
      <c r="AE514" s="324">
        <f t="shared" ca="1" si="208"/>
        <v>939.77551452499688</v>
      </c>
      <c r="AG514" s="306">
        <f t="shared" ca="1" si="230"/>
        <v>-25.349209329304387</v>
      </c>
      <c r="AH514" s="304">
        <f t="shared" ca="1" si="231"/>
        <v>-15.626588235486773</v>
      </c>
    </row>
    <row r="515" spans="1:34" x14ac:dyDescent="0.25">
      <c r="A515" s="347">
        <f t="shared" ca="1" si="209"/>
        <v>0.1</v>
      </c>
      <c r="B515" s="304">
        <f t="shared" ca="1" si="210"/>
        <v>6.0999999999999339</v>
      </c>
      <c r="D515" s="306">
        <f t="shared" ca="1" si="211"/>
        <v>-2.0324000678434735</v>
      </c>
      <c r="E515" s="307">
        <f t="shared" ca="1" si="212"/>
        <v>-24.855693306138374</v>
      </c>
      <c r="F515" s="304">
        <f t="shared" ca="1" si="213"/>
        <v>24.938647512737777</v>
      </c>
      <c r="G515" s="306">
        <f t="shared" ca="1" si="214"/>
        <v>24.787534350590963</v>
      </c>
      <c r="H515" s="307">
        <f t="shared" ca="1" si="215"/>
        <v>182.5191117915158</v>
      </c>
      <c r="I515" s="304">
        <f t="shared" ca="1" si="216"/>
        <v>184.1945928314552</v>
      </c>
      <c r="J515" s="306">
        <f t="shared" ca="1" si="217"/>
        <v>115.60152852746165</v>
      </c>
      <c r="K515" s="307">
        <f t="shared" ca="1" si="218"/>
        <v>958.15170417067918</v>
      </c>
      <c r="L515" s="304">
        <f t="shared" ca="1" si="203"/>
        <v>965.10020288209569</v>
      </c>
      <c r="M515" s="306">
        <f t="shared" ca="1" si="219"/>
        <v>1.4358142601960646</v>
      </c>
      <c r="N515" s="304">
        <f t="shared" ca="1" si="220"/>
        <v>82.266097273933127</v>
      </c>
      <c r="P515" s="310">
        <f t="shared" ca="1" si="221"/>
        <v>23</v>
      </c>
      <c r="Q515" s="304">
        <f t="shared" ca="1" si="222"/>
        <v>0</v>
      </c>
      <c r="R515" s="306">
        <f t="shared" ca="1" si="223"/>
        <v>0</v>
      </c>
      <c r="S515" s="307">
        <f t="shared" ca="1" si="224"/>
        <v>10.637999999999975</v>
      </c>
      <c r="T515" s="304">
        <f t="shared" ca="1" si="204"/>
        <v>104.35877999999975</v>
      </c>
      <c r="U515" s="311">
        <f t="shared" ca="1" si="205"/>
        <v>0</v>
      </c>
      <c r="V515" s="306">
        <f t="shared" ca="1" si="206"/>
        <v>1.1129924285140556</v>
      </c>
      <c r="W515" s="304">
        <f t="shared" ca="1" si="207"/>
        <v>156.94014492295602</v>
      </c>
      <c r="Y515" s="314" t="str">
        <f t="shared" ca="1" si="225"/>
        <v/>
      </c>
      <c r="Z515" s="315" t="str">
        <f t="shared" ca="1" si="226"/>
        <v/>
      </c>
      <c r="AA515" s="316" t="str">
        <f t="shared" ca="1" si="227"/>
        <v/>
      </c>
      <c r="AC515" s="310" t="e">
        <f t="shared" ca="1" si="228"/>
        <v>#N/A</v>
      </c>
      <c r="AD515" s="323" t="e">
        <f t="shared" ca="1" si="229"/>
        <v>#N/A</v>
      </c>
      <c r="AE515" s="324">
        <f t="shared" ca="1" si="208"/>
        <v>958.15170417067918</v>
      </c>
      <c r="AG515" s="306">
        <f t="shared" ca="1" si="230"/>
        <v>-24.904047416548593</v>
      </c>
      <c r="AH515" s="304">
        <f t="shared" ca="1" si="231"/>
        <v>-15.182342938365844</v>
      </c>
    </row>
    <row r="516" spans="1:34" x14ac:dyDescent="0.25">
      <c r="A516" s="347">
        <f t="shared" ca="1" si="209"/>
        <v>0.1</v>
      </c>
      <c r="B516" s="304">
        <f t="shared" ca="1" si="210"/>
        <v>6.1999999999999336</v>
      </c>
      <c r="D516" s="306">
        <f t="shared" ca="1" si="211"/>
        <v>-1.9853199895356208</v>
      </c>
      <c r="E516" s="307">
        <f t="shared" ca="1" si="212"/>
        <v>-24.428591586675662</v>
      </c>
      <c r="F516" s="304">
        <f t="shared" ca="1" si="213"/>
        <v>24.50913263192826</v>
      </c>
      <c r="G516" s="306">
        <f t="shared" ca="1" si="214"/>
        <v>24.589002351637401</v>
      </c>
      <c r="H516" s="307">
        <f t="shared" ca="1" si="215"/>
        <v>180.07625263284822</v>
      </c>
      <c r="I516" s="304">
        <f t="shared" ca="1" si="216"/>
        <v>181.74728553389238</v>
      </c>
      <c r="J516" s="306">
        <f t="shared" ca="1" si="217"/>
        <v>118.07035536257307</v>
      </c>
      <c r="K516" s="307">
        <f t="shared" ca="1" si="218"/>
        <v>976.28147239189741</v>
      </c>
      <c r="L516" s="304">
        <f t="shared" ref="L516:L579" ca="1" si="232">SQRT(pos_x^2+pos_z^2)</f>
        <v>983.39520140741763</v>
      </c>
      <c r="M516" s="306">
        <f t="shared" ca="1" si="219"/>
        <v>1.4350878907556555</v>
      </c>
      <c r="N516" s="304">
        <f t="shared" ca="1" si="220"/>
        <v>82.224479370630405</v>
      </c>
      <c r="P516" s="310">
        <f t="shared" ca="1" si="221"/>
        <v>23</v>
      </c>
      <c r="Q516" s="304">
        <f t="shared" ca="1" si="222"/>
        <v>0</v>
      </c>
      <c r="R516" s="306">
        <f t="shared" ca="1" si="223"/>
        <v>0</v>
      </c>
      <c r="S516" s="307">
        <f t="shared" ca="1" si="224"/>
        <v>10.637999999999975</v>
      </c>
      <c r="T516" s="304">
        <f t="shared" ref="T516:T579" ca="1" si="233">m*g</f>
        <v>104.35877999999975</v>
      </c>
      <c r="U516" s="311">
        <f t="shared" ref="U516:U579" ca="1" si="234">IF(pos_xz&lt;L_rampe,Poids*COS(Beta),0)</f>
        <v>0</v>
      </c>
      <c r="V516" s="306">
        <f t="shared" ref="V516:V579" ca="1" si="235">Rho_moyen*(20000-Alt_rampe-pos_z)/(20000+Alt_rampe+pos_z)</f>
        <v>1.1109717052086543</v>
      </c>
      <c r="W516" s="304">
        <f t="shared" ref="W516:W579" ca="1" si="236">1/2*Rho*Sref*Cx*vit_xz^2</f>
        <v>152.52005389543518</v>
      </c>
      <c r="Y516" s="314" t="str">
        <f t="shared" ca="1" si="225"/>
        <v/>
      </c>
      <c r="Z516" s="315" t="str">
        <f t="shared" ca="1" si="226"/>
        <v/>
      </c>
      <c r="AA516" s="316" t="str">
        <f t="shared" ca="1" si="227"/>
        <v/>
      </c>
      <c r="AC516" s="310" t="e">
        <f t="shared" ca="1" si="228"/>
        <v>#N/A</v>
      </c>
      <c r="AD516" s="323" t="e">
        <f t="shared" ca="1" si="229"/>
        <v>#N/A</v>
      </c>
      <c r="AE516" s="324">
        <f t="shared" ref="AE516:AE579" ca="1" si="237">IF(t&lt;T_para, pos_z, NA())</f>
        <v>976.28147239189741</v>
      </c>
      <c r="AG516" s="306">
        <f t="shared" ca="1" si="230"/>
        <v>-24.473552436363626</v>
      </c>
      <c r="AH516" s="304">
        <f t="shared" ca="1" si="231"/>
        <v>-14.752786700785522</v>
      </c>
    </row>
    <row r="517" spans="1:34" x14ac:dyDescent="0.25">
      <c r="A517" s="347">
        <f t="shared" ref="A517:A580" ca="1" si="238">IF(B516+0.01&lt;=T_ini+ROUNDUP(Temps_fin_propu,0), 0.01, IF(K516&gt;0, 0.1, 0.0001))</f>
        <v>0.1</v>
      </c>
      <c r="B517" s="304">
        <f t="shared" ref="B517:B580" ca="1" si="239">B516+pas</f>
        <v>6.2999999999999332</v>
      </c>
      <c r="D517" s="306">
        <f t="shared" ref="D517:D580" ca="1" si="240">IF(AND(L516&lt;L_rampe,Poussee&lt;Poids*SIN(M516)),0,(-W516+Poussee)/m*COS(M516)-U516/m*SIN(M516))</f>
        <v>-1.9397240001666962</v>
      </c>
      <c r="E517" s="307">
        <f t="shared" ref="E517:E580" ca="1" si="241">IF(AND(L516&lt;L_rampe,Poussee&lt;Poids*SIN(M516)),0,(-W516+Poussee)/m*SIN(M516)+U516/m*COS(M516)-Poids/m)</f>
        <v>-24.015465683269454</v>
      </c>
      <c r="F517" s="304">
        <f t="shared" ref="F517:F580" ca="1" si="242">SQRT(acc_x^2+acc_z^2)</f>
        <v>24.093673883015754</v>
      </c>
      <c r="G517" s="306">
        <f t="shared" ref="G517:G580" ca="1" si="243">G516+acc_x*pas</f>
        <v>24.395029951620732</v>
      </c>
      <c r="H517" s="307">
        <f t="shared" ref="H517:H580" ca="1" si="244">H516+acc_z*pas</f>
        <v>177.67470606452127</v>
      </c>
      <c r="I517" s="304">
        <f t="shared" ref="I517:I580" ca="1" si="245">SQRT(vit_x^2+vit_z^2)</f>
        <v>179.34162556822804</v>
      </c>
      <c r="J517" s="306">
        <f t="shared" ref="J517:J580" ca="1" si="246">J516+0.5*(vit_x+G516)*pas*(K516&gt;=0)</f>
        <v>120.51955697773597</v>
      </c>
      <c r="K517" s="307">
        <f t="shared" ref="K517:K580" ca="1" si="247">K516+0.5*(vit_z+H516)*pas</f>
        <v>994.16902032676592</v>
      </c>
      <c r="L517" s="304">
        <f t="shared" ca="1" si="232"/>
        <v>1001.4474547331934</v>
      </c>
      <c r="M517" s="306">
        <f t="shared" ref="M517:M580" ca="1" si="248">IF(AND(L516&gt;L_rampe,G517&gt;0),ATAN2(G517,H517),$M$4)</f>
        <v>1.4343478409986479</v>
      </c>
      <c r="N517" s="304">
        <f t="shared" ref="N517:N580" ca="1" si="249">DEGREES(Beta)</f>
        <v>82.182077642924185</v>
      </c>
      <c r="P517" s="310">
        <f t="shared" ref="P517:P580" ca="1" si="250">MATCH(t-pas/2-T_ini,CdP_t)</f>
        <v>23</v>
      </c>
      <c r="Q517" s="304">
        <f t="shared" ref="Q517:Q580" ca="1" si="251">(INDEX(CdP,2,i_P+1)-INDEX(CdP,2,i_P+0))/(INDEX(CdP,1,i_P+1)-INDEX(CdP,1,i_P+0))*(t-pas/2-T_ini-INDEX(CdP,1,i_P+0))+INDEX(CdP,2,i_P+0)</f>
        <v>0</v>
      </c>
      <c r="R517" s="306">
        <f t="shared" ref="R517:R580" ca="1" si="252">Poussee/(g*ISP)</f>
        <v>0</v>
      </c>
      <c r="S517" s="307">
        <f t="shared" ref="S517:S580" ca="1" si="253">S516-Débit*pas</f>
        <v>10.637999999999975</v>
      </c>
      <c r="T517" s="304">
        <f t="shared" ca="1" si="233"/>
        <v>104.35877999999975</v>
      </c>
      <c r="U517" s="311">
        <f t="shared" ca="1" si="234"/>
        <v>0</v>
      </c>
      <c r="V517" s="306">
        <f t="shared" ca="1" si="235"/>
        <v>1.1089813999095517</v>
      </c>
      <c r="W517" s="304">
        <f t="shared" ca="1" si="236"/>
        <v>148.24312155421222</v>
      </c>
      <c r="Y517" s="314" t="str">
        <f t="shared" ref="Y517:Y580" ca="1" si="254">IF(AND(pos_z&lt;=0,K516&gt;0),"Impact balistique","") &amp; IF(AND(H518&lt;0,vit_z&gt;=0),"Apogée","") &amp; IF(AND(Poussee=0,Q516&gt;0),"Fin de propulsion","") &amp; IF(AND(L518&gt;L_rampe,pos_xz&lt;=L_rampe),"Sortie de rampe","")</f>
        <v/>
      </c>
      <c r="Z517" s="315" t="str">
        <f t="shared" ref="Z517:Z580" ca="1" si="255">IF(ABS(t-T_para)&lt;pas/2,"Para","")</f>
        <v/>
      </c>
      <c r="AA517" s="316" t="str">
        <f t="shared" ref="AA517:AA580" ca="1" si="256">IF(ABS(t-T_satellite)&lt;pas/2,"Satellite","")</f>
        <v/>
      </c>
      <c r="AC517" s="310" t="e">
        <f t="shared" ref="AC517:AC580" ca="1" si="257">IF(ABS(t-ROUND(t,0))&lt;0.001,t,NA())</f>
        <v>#N/A</v>
      </c>
      <c r="AD517" s="323" t="e">
        <f t="shared" ref="AD517:AD580" ca="1" si="258">IF(ABS(t-ROUND(t,0))&lt;0.001,pos_x,NA())</f>
        <v>#N/A</v>
      </c>
      <c r="AE517" s="324">
        <f t="shared" ca="1" si="237"/>
        <v>994.16902032676592</v>
      </c>
      <c r="AG517" s="306">
        <f t="shared" ref="AG517:AG580" ca="1" si="259">IF(AND(L516&lt;L_rampe,Poussee&lt;Poids*SIN(M516)),0,(-W516+Poussee)/m-Poids*SIN(M516)/m)</f>
        <v>-24.05709076002789</v>
      </c>
      <c r="AH517" s="304">
        <f t="shared" ref="AH517:AH580" ca="1" si="260">IF(AND(L516&lt;L_rampe,Poussee&lt;Poids*SIN(M516)), g*SIN(M516), (-W516+Poussee)/m)</f>
        <v>-14.337286510193227</v>
      </c>
    </row>
    <row r="518" spans="1:34" x14ac:dyDescent="0.25">
      <c r="A518" s="347">
        <f t="shared" ca="1" si="238"/>
        <v>0.1</v>
      </c>
      <c r="B518" s="304">
        <f t="shared" ca="1" si="239"/>
        <v>6.3999999999999329</v>
      </c>
      <c r="D518" s="306">
        <f t="shared" ca="1" si="240"/>
        <v>-1.8955481430657368</v>
      </c>
      <c r="E518" s="307">
        <f t="shared" ca="1" si="241"/>
        <v>-23.615720256062993</v>
      </c>
      <c r="F518" s="304">
        <f t="shared" ca="1" si="242"/>
        <v>23.691672502702378</v>
      </c>
      <c r="G518" s="306">
        <f t="shared" ca="1" si="243"/>
        <v>24.205475137314156</v>
      </c>
      <c r="H518" s="307">
        <f t="shared" ca="1" si="244"/>
        <v>175.31313403891497</v>
      </c>
      <c r="I518" s="304">
        <f t="shared" ca="1" si="245"/>
        <v>176.97626957637485</v>
      </c>
      <c r="J518" s="306">
        <f t="shared" ca="1" si="246"/>
        <v>122.94958223218272</v>
      </c>
      <c r="K518" s="307">
        <f t="shared" ca="1" si="247"/>
        <v>1011.8184123319377</v>
      </c>
      <c r="L518" s="304">
        <f t="shared" ca="1" si="232"/>
        <v>1019.2610555225739</v>
      </c>
      <c r="M518" s="306">
        <f t="shared" ca="1" si="248"/>
        <v>1.4335938359292708</v>
      </c>
      <c r="N518" s="304">
        <f t="shared" ca="1" si="249"/>
        <v>82.138876334717409</v>
      </c>
      <c r="P518" s="310">
        <f t="shared" ca="1" si="250"/>
        <v>23</v>
      </c>
      <c r="Q518" s="304">
        <f t="shared" ca="1" si="251"/>
        <v>0</v>
      </c>
      <c r="R518" s="306">
        <f t="shared" ca="1" si="252"/>
        <v>0</v>
      </c>
      <c r="S518" s="307">
        <f t="shared" ca="1" si="253"/>
        <v>10.637999999999975</v>
      </c>
      <c r="T518" s="304">
        <f t="shared" ca="1" si="233"/>
        <v>104.35877999999975</v>
      </c>
      <c r="U518" s="311">
        <f t="shared" ca="1" si="234"/>
        <v>0</v>
      </c>
      <c r="V518" s="306">
        <f t="shared" ca="1" si="235"/>
        <v>1.107020915012366</v>
      </c>
      <c r="W518" s="304">
        <f t="shared" ca="1" si="236"/>
        <v>144.10331928899035</v>
      </c>
      <c r="Y518" s="314" t="str">
        <f t="shared" ca="1" si="254"/>
        <v/>
      </c>
      <c r="Z518" s="315" t="str">
        <f t="shared" ca="1" si="255"/>
        <v/>
      </c>
      <c r="AA518" s="316" t="str">
        <f t="shared" ca="1" si="256"/>
        <v/>
      </c>
      <c r="AC518" s="310" t="e">
        <f t="shared" ca="1" si="257"/>
        <v>#N/A</v>
      </c>
      <c r="AD518" s="323" t="e">
        <f t="shared" ca="1" si="258"/>
        <v>#N/A</v>
      </c>
      <c r="AE518" s="324">
        <f t="shared" ca="1" si="237"/>
        <v>1011.8184123319377</v>
      </c>
      <c r="AG518" s="306">
        <f t="shared" ca="1" si="259"/>
        <v>-23.654062994477044</v>
      </c>
      <c r="AH518" s="304">
        <f t="shared" ca="1" si="260"/>
        <v>-13.935243612917143</v>
      </c>
    </row>
    <row r="519" spans="1:34" x14ac:dyDescent="0.25">
      <c r="A519" s="347">
        <f t="shared" ca="1" si="238"/>
        <v>0.1</v>
      </c>
      <c r="B519" s="304">
        <f t="shared" ca="1" si="239"/>
        <v>6.4999999999999325</v>
      </c>
      <c r="D519" s="306">
        <f t="shared" ca="1" si="240"/>
        <v>-1.8527318778098627</v>
      </c>
      <c r="E519" s="307">
        <f t="shared" ca="1" si="241"/>
        <v>-23.228791830776341</v>
      </c>
      <c r="F519" s="304">
        <f t="shared" ca="1" si="242"/>
        <v>23.302561776092229</v>
      </c>
      <c r="G519" s="306">
        <f t="shared" ca="1" si="243"/>
        <v>24.02020194953317</v>
      </c>
      <c r="H519" s="307">
        <f t="shared" ca="1" si="244"/>
        <v>172.99025485583732</v>
      </c>
      <c r="I519" s="304">
        <f t="shared" ca="1" si="245"/>
        <v>174.64993093838859</v>
      </c>
      <c r="J519" s="306">
        <f t="shared" ca="1" si="246"/>
        <v>125.36086608652509</v>
      </c>
      <c r="K519" s="307">
        <f t="shared" ca="1" si="247"/>
        <v>1029.2335817766752</v>
      </c>
      <c r="L519" s="304">
        <f t="shared" ca="1" si="232"/>
        <v>1036.8399647982362</v>
      </c>
      <c r="M519" s="306">
        <f t="shared" ca="1" si="248"/>
        <v>1.4328255918758099</v>
      </c>
      <c r="N519" s="304">
        <f t="shared" ca="1" si="249"/>
        <v>82.094859192818078</v>
      </c>
      <c r="P519" s="310">
        <f t="shared" ca="1" si="250"/>
        <v>23</v>
      </c>
      <c r="Q519" s="304">
        <f t="shared" ca="1" si="251"/>
        <v>0</v>
      </c>
      <c r="R519" s="306">
        <f t="shared" ca="1" si="252"/>
        <v>0</v>
      </c>
      <c r="S519" s="307">
        <f t="shared" ca="1" si="253"/>
        <v>10.637999999999975</v>
      </c>
      <c r="T519" s="304">
        <f t="shared" ca="1" si="233"/>
        <v>104.35877999999975</v>
      </c>
      <c r="U519" s="311">
        <f t="shared" ca="1" si="234"/>
        <v>0</v>
      </c>
      <c r="V519" s="306">
        <f t="shared" ca="1" si="235"/>
        <v>1.1050896729998747</v>
      </c>
      <c r="W519" s="304">
        <f t="shared" ca="1" si="236"/>
        <v>140.09493766542266</v>
      </c>
      <c r="Y519" s="314" t="str">
        <f t="shared" ca="1" si="254"/>
        <v/>
      </c>
      <c r="Z519" s="315" t="str">
        <f t="shared" ca="1" si="255"/>
        <v/>
      </c>
      <c r="AA519" s="316" t="str">
        <f t="shared" ca="1" si="256"/>
        <v/>
      </c>
      <c r="AC519" s="310" t="e">
        <f t="shared" ca="1" si="257"/>
        <v>#N/A</v>
      </c>
      <c r="AD519" s="323" t="e">
        <f t="shared" ca="1" si="258"/>
        <v>#N/A</v>
      </c>
      <c r="AE519" s="324">
        <f t="shared" ca="1" si="237"/>
        <v>1029.2335817766752</v>
      </c>
      <c r="AG519" s="306">
        <f t="shared" ca="1" si="259"/>
        <v>-23.263901770845074</v>
      </c>
      <c r="AH519" s="304">
        <f t="shared" ca="1" si="260"/>
        <v>-13.546091303721628</v>
      </c>
    </row>
    <row r="520" spans="1:34" x14ac:dyDescent="0.25">
      <c r="A520" s="347">
        <f t="shared" ca="1" si="238"/>
        <v>0.1</v>
      </c>
      <c r="B520" s="304">
        <f t="shared" ca="1" si="239"/>
        <v>6.5999999999999321</v>
      </c>
      <c r="D520" s="306">
        <f t="shared" ca="1" si="240"/>
        <v>-1.8112178620887422</v>
      </c>
      <c r="E520" s="307">
        <f t="shared" ca="1" si="241"/>
        <v>-22.854146765313338</v>
      </c>
      <c r="F520" s="304">
        <f t="shared" ca="1" si="242"/>
        <v>22.925804991634024</v>
      </c>
      <c r="G520" s="306">
        <f t="shared" ca="1" si="243"/>
        <v>23.839080163324297</v>
      </c>
      <c r="H520" s="307">
        <f t="shared" ca="1" si="244"/>
        <v>170.70484017930599</v>
      </c>
      <c r="I520" s="304">
        <f t="shared" ca="1" si="245"/>
        <v>172.36137677471655</v>
      </c>
      <c r="J520" s="306">
        <f t="shared" ca="1" si="246"/>
        <v>127.75383019216797</v>
      </c>
      <c r="K520" s="307">
        <f t="shared" ca="1" si="247"/>
        <v>1046.4183365284323</v>
      </c>
      <c r="L520" s="304">
        <f t="shared" ca="1" si="232"/>
        <v>1054.1880174578446</v>
      </c>
      <c r="M520" s="306">
        <f t="shared" ca="1" si="248"/>
        <v>1.4320428161790264</v>
      </c>
      <c r="N520" s="304">
        <f t="shared" ca="1" si="249"/>
        <v>82.050009449086971</v>
      </c>
      <c r="P520" s="310">
        <f t="shared" ca="1" si="250"/>
        <v>23</v>
      </c>
      <c r="Q520" s="304">
        <f t="shared" ca="1" si="251"/>
        <v>0</v>
      </c>
      <c r="R520" s="306">
        <f t="shared" ca="1" si="252"/>
        <v>0</v>
      </c>
      <c r="S520" s="307">
        <f t="shared" ca="1" si="253"/>
        <v>10.637999999999975</v>
      </c>
      <c r="T520" s="304">
        <f t="shared" ca="1" si="233"/>
        <v>104.35877999999975</v>
      </c>
      <c r="U520" s="311">
        <f t="shared" ca="1" si="234"/>
        <v>0</v>
      </c>
      <c r="V520" s="306">
        <f t="shared" ca="1" si="235"/>
        <v>1.1031871155699198</v>
      </c>
      <c r="W520" s="304">
        <f t="shared" ca="1" si="236"/>
        <v>136.21256627986975</v>
      </c>
      <c r="Y520" s="314" t="str">
        <f t="shared" ca="1" si="254"/>
        <v/>
      </c>
      <c r="Z520" s="315" t="str">
        <f t="shared" ca="1" si="255"/>
        <v/>
      </c>
      <c r="AA520" s="316" t="str">
        <f t="shared" ca="1" si="256"/>
        <v/>
      </c>
      <c r="AC520" s="310" t="e">
        <f t="shared" ca="1" si="257"/>
        <v>#N/A</v>
      </c>
      <c r="AD520" s="323" t="e">
        <f t="shared" ca="1" si="258"/>
        <v>#N/A</v>
      </c>
      <c r="AE520" s="324">
        <f t="shared" ca="1" si="237"/>
        <v>1046.4183365284323</v>
      </c>
      <c r="AG520" s="306">
        <f t="shared" ca="1" si="259"/>
        <v>-22.886069698340052</v>
      </c>
      <c r="AH520" s="304">
        <f t="shared" ca="1" si="260"/>
        <v>-13.169292880750422</v>
      </c>
    </row>
    <row r="521" spans="1:34" x14ac:dyDescent="0.25">
      <c r="A521" s="347">
        <f t="shared" ca="1" si="238"/>
        <v>0.1</v>
      </c>
      <c r="B521" s="304">
        <f t="shared" ca="1" si="239"/>
        <v>6.6999999999999318</v>
      </c>
      <c r="D521" s="306">
        <f t="shared" ca="1" si="240"/>
        <v>-1.770951749712832</v>
      </c>
      <c r="E521" s="307">
        <f t="shared" ca="1" si="241"/>
        <v>-22.491279366856027</v>
      </c>
      <c r="F521" s="304">
        <f t="shared" ca="1" si="242"/>
        <v>22.560893547414619</v>
      </c>
      <c r="G521" s="306">
        <f t="shared" ca="1" si="243"/>
        <v>23.661984988353016</v>
      </c>
      <c r="H521" s="307">
        <f t="shared" ca="1" si="244"/>
        <v>168.45571224262039</v>
      </c>
      <c r="I521" s="304">
        <f t="shared" ca="1" si="245"/>
        <v>170.10942513793165</v>
      </c>
      <c r="J521" s="306">
        <f t="shared" ca="1" si="246"/>
        <v>130.12888344975184</v>
      </c>
      <c r="K521" s="307">
        <f t="shared" ca="1" si="247"/>
        <v>1063.3763641495286</v>
      </c>
      <c r="L521" s="304">
        <f t="shared" ca="1" si="232"/>
        <v>1071.3089274993231</v>
      </c>
      <c r="M521" s="306">
        <f t="shared" ca="1" si="248"/>
        <v>1.4312452068663002</v>
      </c>
      <c r="N521" s="304">
        <f t="shared" ca="1" si="249"/>
        <v>82.004309801767434</v>
      </c>
      <c r="P521" s="310">
        <f t="shared" ca="1" si="250"/>
        <v>23</v>
      </c>
      <c r="Q521" s="304">
        <f t="shared" ca="1" si="251"/>
        <v>0</v>
      </c>
      <c r="R521" s="306">
        <f t="shared" ca="1" si="252"/>
        <v>0</v>
      </c>
      <c r="S521" s="307">
        <f t="shared" ca="1" si="253"/>
        <v>10.637999999999975</v>
      </c>
      <c r="T521" s="304">
        <f t="shared" ca="1" si="233"/>
        <v>104.35877999999975</v>
      </c>
      <c r="U521" s="311">
        <f t="shared" ca="1" si="234"/>
        <v>0</v>
      </c>
      <c r="V521" s="306">
        <f t="shared" ca="1" si="235"/>
        <v>1.1013127028105243</v>
      </c>
      <c r="W521" s="304">
        <f t="shared" ca="1" si="236"/>
        <v>132.45107508905357</v>
      </c>
      <c r="Y521" s="314" t="str">
        <f t="shared" ca="1" si="254"/>
        <v/>
      </c>
      <c r="Z521" s="315" t="str">
        <f t="shared" ca="1" si="255"/>
        <v/>
      </c>
      <c r="AA521" s="316" t="str">
        <f t="shared" ca="1" si="256"/>
        <v/>
      </c>
      <c r="AC521" s="310" t="e">
        <f t="shared" ca="1" si="257"/>
        <v>#N/A</v>
      </c>
      <c r="AD521" s="323" t="e">
        <f t="shared" ca="1" si="258"/>
        <v>#N/A</v>
      </c>
      <c r="AE521" s="324">
        <f t="shared" ca="1" si="237"/>
        <v>1063.3763641495286</v>
      </c>
      <c r="AG521" s="306">
        <f t="shared" ca="1" si="259"/>
        <v>-22.520057469414738</v>
      </c>
      <c r="AH521" s="304">
        <f t="shared" ca="1" si="260"/>
        <v>-12.804339751820837</v>
      </c>
    </row>
    <row r="522" spans="1:34" x14ac:dyDescent="0.25">
      <c r="A522" s="347">
        <f t="shared" ca="1" si="238"/>
        <v>0.1</v>
      </c>
      <c r="B522" s="304">
        <f t="shared" ca="1" si="239"/>
        <v>6.7999999999999314</v>
      </c>
      <c r="D522" s="306">
        <f t="shared" ca="1" si="240"/>
        <v>-1.7318820034100137</v>
      </c>
      <c r="E522" s="307">
        <f t="shared" ca="1" si="241"/>
        <v>-22.139710146812035</v>
      </c>
      <c r="F522" s="304">
        <f t="shared" ca="1" si="242"/>
        <v>22.207345196096433</v>
      </c>
      <c r="G522" s="306">
        <f t="shared" ca="1" si="243"/>
        <v>23.488796788012014</v>
      </c>
      <c r="H522" s="307">
        <f t="shared" ca="1" si="244"/>
        <v>166.2417412279392</v>
      </c>
      <c r="I522" s="304">
        <f t="shared" ca="1" si="245"/>
        <v>167.89294238009418</v>
      </c>
      <c r="J522" s="306">
        <f t="shared" ca="1" si="246"/>
        <v>132.48642253857008</v>
      </c>
      <c r="K522" s="307">
        <f t="shared" ca="1" si="247"/>
        <v>1080.1112368230565</v>
      </c>
      <c r="L522" s="304">
        <f t="shared" ca="1" si="232"/>
        <v>1088.2062929741314</v>
      </c>
      <c r="M522" s="306">
        <f t="shared" ca="1" si="248"/>
        <v>1.4304324523107654</v>
      </c>
      <c r="N522" s="304">
        <f t="shared" ca="1" si="249"/>
        <v>81.957742395955265</v>
      </c>
      <c r="P522" s="310">
        <f t="shared" ca="1" si="250"/>
        <v>23</v>
      </c>
      <c r="Q522" s="304">
        <f t="shared" ca="1" si="251"/>
        <v>0</v>
      </c>
      <c r="R522" s="306">
        <f t="shared" ca="1" si="252"/>
        <v>0</v>
      </c>
      <c r="S522" s="307">
        <f t="shared" ca="1" si="253"/>
        <v>10.637999999999975</v>
      </c>
      <c r="T522" s="304">
        <f t="shared" ca="1" si="233"/>
        <v>104.35877999999975</v>
      </c>
      <c r="U522" s="311">
        <f t="shared" ca="1" si="234"/>
        <v>0</v>
      </c>
      <c r="V522" s="306">
        <f t="shared" ca="1" si="235"/>
        <v>1.0994659124191937</v>
      </c>
      <c r="W522" s="304">
        <f t="shared" ca="1" si="236"/>
        <v>128.80559709209743</v>
      </c>
      <c r="Y522" s="314" t="str">
        <f t="shared" ca="1" si="254"/>
        <v/>
      </c>
      <c r="Z522" s="315" t="str">
        <f t="shared" ca="1" si="255"/>
        <v/>
      </c>
      <c r="AA522" s="316" t="str">
        <f t="shared" ca="1" si="256"/>
        <v/>
      </c>
      <c r="AC522" s="310" t="e">
        <f t="shared" ca="1" si="257"/>
        <v>#N/A</v>
      </c>
      <c r="AD522" s="323" t="e">
        <f t="shared" ca="1" si="258"/>
        <v>#N/A</v>
      </c>
      <c r="AE522" s="324">
        <f t="shared" ca="1" si="237"/>
        <v>1080.1112368230565</v>
      </c>
      <c r="AG522" s="306">
        <f t="shared" ca="1" si="259"/>
        <v>-22.165382103521715</v>
      </c>
      <c r="AH522" s="304">
        <f t="shared" ca="1" si="260"/>
        <v>-12.450749679362087</v>
      </c>
    </row>
    <row r="523" spans="1:34" x14ac:dyDescent="0.25">
      <c r="A523" s="347">
        <f t="shared" ca="1" si="238"/>
        <v>0.1</v>
      </c>
      <c r="B523" s="304">
        <f t="shared" ca="1" si="239"/>
        <v>6.8999999999999311</v>
      </c>
      <c r="D523" s="306">
        <f t="shared" ca="1" si="240"/>
        <v>-1.6939597211822175</v>
      </c>
      <c r="E523" s="307">
        <f t="shared" ca="1" si="241"/>
        <v>-21.798984202164423</v>
      </c>
      <c r="F523" s="304">
        <f t="shared" ca="1" si="242"/>
        <v>21.864702416982535</v>
      </c>
      <c r="G523" s="306">
        <f t="shared" ca="1" si="243"/>
        <v>23.319400815893793</v>
      </c>
      <c r="H523" s="307">
        <f t="shared" ca="1" si="244"/>
        <v>164.06184280772277</v>
      </c>
      <c r="I523" s="304">
        <f t="shared" ca="1" si="245"/>
        <v>165.71084068303512</v>
      </c>
      <c r="J523" s="306">
        <f t="shared" ca="1" si="246"/>
        <v>134.82683241876538</v>
      </c>
      <c r="K523" s="307">
        <f t="shared" ca="1" si="247"/>
        <v>1096.6264160248397</v>
      </c>
      <c r="L523" s="304">
        <f t="shared" ca="1" si="232"/>
        <v>1104.8836006854128</v>
      </c>
      <c r="M523" s="306">
        <f t="shared" ca="1" si="248"/>
        <v>1.4296042308746604</v>
      </c>
      <c r="N523" s="304">
        <f t="shared" ca="1" si="249"/>
        <v>81.910288803164178</v>
      </c>
      <c r="P523" s="310">
        <f t="shared" ca="1" si="250"/>
        <v>23</v>
      </c>
      <c r="Q523" s="304">
        <f t="shared" ca="1" si="251"/>
        <v>0</v>
      </c>
      <c r="R523" s="306">
        <f t="shared" ca="1" si="252"/>
        <v>0</v>
      </c>
      <c r="S523" s="307">
        <f t="shared" ca="1" si="253"/>
        <v>10.637999999999975</v>
      </c>
      <c r="T523" s="304">
        <f t="shared" ca="1" si="233"/>
        <v>104.35877999999975</v>
      </c>
      <c r="U523" s="311">
        <f t="shared" ca="1" si="234"/>
        <v>0</v>
      </c>
      <c r="V523" s="306">
        <f t="shared" ca="1" si="235"/>
        <v>1.0976462389635895</v>
      </c>
      <c r="W523" s="304">
        <f t="shared" ca="1" si="236"/>
        <v>125.27151225380409</v>
      </c>
      <c r="Y523" s="314" t="str">
        <f t="shared" ca="1" si="254"/>
        <v/>
      </c>
      <c r="Z523" s="315" t="str">
        <f t="shared" ca="1" si="255"/>
        <v/>
      </c>
      <c r="AA523" s="316" t="str">
        <f t="shared" ca="1" si="256"/>
        <v/>
      </c>
      <c r="AC523" s="310" t="e">
        <f t="shared" ca="1" si="257"/>
        <v>#N/A</v>
      </c>
      <c r="AD523" s="323" t="e">
        <f t="shared" ca="1" si="258"/>
        <v>#N/A</v>
      </c>
      <c r="AE523" s="324">
        <f t="shared" ca="1" si="237"/>
        <v>1096.6264160248397</v>
      </c>
      <c r="AG523" s="306">
        <f t="shared" ca="1" si="259"/>
        <v>-21.821585317933266</v>
      </c>
      <c r="AH523" s="304">
        <f t="shared" ca="1" si="260"/>
        <v>-12.108065152481457</v>
      </c>
    </row>
    <row r="524" spans="1:34" x14ac:dyDescent="0.25">
      <c r="A524" s="347">
        <f t="shared" ca="1" si="238"/>
        <v>0.1</v>
      </c>
      <c r="B524" s="304">
        <f t="shared" ca="1" si="239"/>
        <v>6.9999999999999307</v>
      </c>
      <c r="D524" s="306">
        <f t="shared" ca="1" si="240"/>
        <v>-1.6571384751075764</v>
      </c>
      <c r="E524" s="307">
        <f t="shared" ca="1" si="241"/>
        <v>-21.468669712835336</v>
      </c>
      <c r="F524" s="304">
        <f t="shared" ca="1" si="242"/>
        <v>21.532530904761177</v>
      </c>
      <c r="G524" s="306">
        <f t="shared" ca="1" si="243"/>
        <v>23.153686968383035</v>
      </c>
      <c r="H524" s="307">
        <f t="shared" ca="1" si="244"/>
        <v>161.91497583643923</v>
      </c>
      <c r="I524" s="304">
        <f t="shared" ca="1" si="245"/>
        <v>163.56207573989934</v>
      </c>
      <c r="J524" s="306">
        <f t="shared" ca="1" si="246"/>
        <v>137.15048680797921</v>
      </c>
      <c r="K524" s="307">
        <f t="shared" ca="1" si="247"/>
        <v>1112.9252569570478</v>
      </c>
      <c r="L524" s="304">
        <f t="shared" ca="1" si="232"/>
        <v>1121.344230646672</v>
      </c>
      <c r="M524" s="306">
        <f t="shared" ca="1" si="248"/>
        <v>1.4287602105360677</v>
      </c>
      <c r="N524" s="304">
        <f t="shared" ca="1" si="249"/>
        <v>81.861929999939619</v>
      </c>
      <c r="P524" s="310">
        <f t="shared" ca="1" si="250"/>
        <v>23</v>
      </c>
      <c r="Q524" s="304">
        <f t="shared" ca="1" si="251"/>
        <v>0</v>
      </c>
      <c r="R524" s="306">
        <f t="shared" ca="1" si="252"/>
        <v>0</v>
      </c>
      <c r="S524" s="307">
        <f t="shared" ca="1" si="253"/>
        <v>10.637999999999975</v>
      </c>
      <c r="T524" s="304">
        <f t="shared" ca="1" si="233"/>
        <v>104.35877999999975</v>
      </c>
      <c r="U524" s="311">
        <f t="shared" ca="1" si="234"/>
        <v>0</v>
      </c>
      <c r="V524" s="306">
        <f t="shared" ca="1" si="235"/>
        <v>1.0958531931809739</v>
      </c>
      <c r="W524" s="304">
        <f t="shared" ca="1" si="236"/>
        <v>121.84443256821953</v>
      </c>
      <c r="Y524" s="314" t="str">
        <f t="shared" ca="1" si="254"/>
        <v/>
      </c>
      <c r="Z524" s="315" t="str">
        <f t="shared" ca="1" si="255"/>
        <v/>
      </c>
      <c r="AA524" s="316" t="str">
        <f t="shared" ca="1" si="256"/>
        <v/>
      </c>
      <c r="AC524" s="310">
        <f t="shared" ca="1" si="257"/>
        <v>6.9999999999999307</v>
      </c>
      <c r="AD524" s="323">
        <f t="shared" ca="1" si="258"/>
        <v>137.15048680797921</v>
      </c>
      <c r="AE524" s="324">
        <f t="shared" ca="1" si="237"/>
        <v>1112.9252569570478</v>
      </c>
      <c r="AG524" s="306">
        <f t="shared" ca="1" si="259"/>
        <v>-21.488232015173935</v>
      </c>
      <c r="AH524" s="304">
        <f t="shared" ca="1" si="260"/>
        <v>-11.775851875710131</v>
      </c>
    </row>
    <row r="525" spans="1:34" x14ac:dyDescent="0.25">
      <c r="A525" s="347">
        <f t="shared" ca="1" si="238"/>
        <v>0.1</v>
      </c>
      <c r="B525" s="304">
        <f t="shared" ca="1" si="239"/>
        <v>7.0999999999999304</v>
      </c>
      <c r="D525" s="306">
        <f t="shared" ca="1" si="240"/>
        <v>-1.6213741615758726</v>
      </c>
      <c r="E525" s="307">
        <f t="shared" ca="1" si="241"/>
        <v>-21.148356545627855</v>
      </c>
      <c r="F525" s="304">
        <f t="shared" ca="1" si="242"/>
        <v>21.210418165439982</v>
      </c>
      <c r="G525" s="306">
        <f t="shared" ca="1" si="243"/>
        <v>22.991549552225447</v>
      </c>
      <c r="H525" s="307">
        <f t="shared" ca="1" si="244"/>
        <v>159.80014018187643</v>
      </c>
      <c r="I525" s="304">
        <f t="shared" ca="1" si="245"/>
        <v>161.4456445772378</v>
      </c>
      <c r="J525" s="306">
        <f t="shared" ca="1" si="246"/>
        <v>139.45774863400962</v>
      </c>
      <c r="K525" s="307">
        <f t="shared" ca="1" si="247"/>
        <v>1129.0110127579637</v>
      </c>
      <c r="L525" s="304">
        <f t="shared" ca="1" si="232"/>
        <v>1137.5914603155343</v>
      </c>
      <c r="M525" s="306">
        <f t="shared" ca="1" si="248"/>
        <v>1.4279000484981674</v>
      </c>
      <c r="N525" s="304">
        <f t="shared" ca="1" si="249"/>
        <v>81.812646345470554</v>
      </c>
      <c r="P525" s="310">
        <f t="shared" ca="1" si="250"/>
        <v>23</v>
      </c>
      <c r="Q525" s="304">
        <f t="shared" ca="1" si="251"/>
        <v>0</v>
      </c>
      <c r="R525" s="306">
        <f t="shared" ca="1" si="252"/>
        <v>0</v>
      </c>
      <c r="S525" s="307">
        <f t="shared" ca="1" si="253"/>
        <v>10.637999999999975</v>
      </c>
      <c r="T525" s="304">
        <f t="shared" ca="1" si="233"/>
        <v>104.35877999999975</v>
      </c>
      <c r="U525" s="311">
        <f t="shared" ca="1" si="234"/>
        <v>0</v>
      </c>
      <c r="V525" s="306">
        <f t="shared" ca="1" si="235"/>
        <v>1.0940863013140172</v>
      </c>
      <c r="W525" s="304">
        <f t="shared" ca="1" si="236"/>
        <v>118.5201881707015</v>
      </c>
      <c r="Y525" s="314" t="str">
        <f t="shared" ca="1" si="254"/>
        <v/>
      </c>
      <c r="Z525" s="315" t="str">
        <f t="shared" ca="1" si="255"/>
        <v/>
      </c>
      <c r="AA525" s="316" t="str">
        <f t="shared" ca="1" si="256"/>
        <v/>
      </c>
      <c r="AC525" s="310" t="e">
        <f t="shared" ca="1" si="257"/>
        <v>#N/A</v>
      </c>
      <c r="AD525" s="323" t="e">
        <f t="shared" ca="1" si="258"/>
        <v>#N/A</v>
      </c>
      <c r="AE525" s="324">
        <f t="shared" ca="1" si="237"/>
        <v>1129.0110127579637</v>
      </c>
      <c r="AG525" s="306">
        <f t="shared" ca="1" si="259"/>
        <v>-21.164908877571925</v>
      </c>
      <c r="AH525" s="304">
        <f t="shared" ca="1" si="260"/>
        <v>-11.453697364938881</v>
      </c>
    </row>
    <row r="526" spans="1:34" x14ac:dyDescent="0.25">
      <c r="A526" s="347">
        <f t="shared" ca="1" si="238"/>
        <v>0.1</v>
      </c>
      <c r="B526" s="304">
        <f t="shared" ca="1" si="239"/>
        <v>7.19999999999993</v>
      </c>
      <c r="D526" s="306">
        <f t="shared" ca="1" si="240"/>
        <v>-1.5866248620370484</v>
      </c>
      <c r="E526" s="307">
        <f t="shared" ca="1" si="241"/>
        <v>-20.837654956167547</v>
      </c>
      <c r="F526" s="304">
        <f t="shared" ca="1" si="242"/>
        <v>20.897972210842084</v>
      </c>
      <c r="G526" s="306">
        <f t="shared" ca="1" si="243"/>
        <v>22.83288706602174</v>
      </c>
      <c r="H526" s="307">
        <f t="shared" ca="1" si="244"/>
        <v>157.71637468625968</v>
      </c>
      <c r="I526" s="304">
        <f t="shared" ca="1" si="245"/>
        <v>159.36058350779956</v>
      </c>
      <c r="J526" s="306">
        <f t="shared" ca="1" si="246"/>
        <v>141.74897046492197</v>
      </c>
      <c r="K526" s="307">
        <f t="shared" ca="1" si="247"/>
        <v>1144.8868385013704</v>
      </c>
      <c r="L526" s="304">
        <f t="shared" ca="1" si="232"/>
        <v>1153.6284686161002</v>
      </c>
      <c r="M526" s="306">
        <f t="shared" ca="1" si="248"/>
        <v>1.4270233907800736</v>
      </c>
      <c r="N526" s="304">
        <f t="shared" ca="1" si="249"/>
        <v>81.762417558146211</v>
      </c>
      <c r="P526" s="310">
        <f t="shared" ca="1" si="250"/>
        <v>23</v>
      </c>
      <c r="Q526" s="304">
        <f t="shared" ca="1" si="251"/>
        <v>0</v>
      </c>
      <c r="R526" s="306">
        <f t="shared" ca="1" si="252"/>
        <v>0</v>
      </c>
      <c r="S526" s="307">
        <f t="shared" ca="1" si="253"/>
        <v>10.637999999999975</v>
      </c>
      <c r="T526" s="304">
        <f t="shared" ca="1" si="233"/>
        <v>104.35877999999975</v>
      </c>
      <c r="U526" s="311">
        <f t="shared" ca="1" si="234"/>
        <v>0</v>
      </c>
      <c r="V526" s="306">
        <f t="shared" ca="1" si="235"/>
        <v>1.092345104480722</v>
      </c>
      <c r="W526" s="304">
        <f t="shared" ca="1" si="236"/>
        <v>115.29481441495817</v>
      </c>
      <c r="Y526" s="314" t="str">
        <f t="shared" ca="1" si="254"/>
        <v/>
      </c>
      <c r="Z526" s="315" t="str">
        <f t="shared" ca="1" si="255"/>
        <v/>
      </c>
      <c r="AA526" s="316" t="str">
        <f t="shared" ca="1" si="256"/>
        <v/>
      </c>
      <c r="AC526" s="310" t="e">
        <f t="shared" ca="1" si="257"/>
        <v>#N/A</v>
      </c>
      <c r="AD526" s="323" t="e">
        <f t="shared" ca="1" si="258"/>
        <v>#N/A</v>
      </c>
      <c r="AE526" s="324">
        <f t="shared" ca="1" si="237"/>
        <v>1144.8868385013704</v>
      </c>
      <c r="AG526" s="306">
        <f t="shared" ca="1" si="259"/>
        <v>-20.851223060297308</v>
      </c>
      <c r="AH526" s="304">
        <f t="shared" ca="1" si="260"/>
        <v>-11.141209641915941</v>
      </c>
    </row>
    <row r="527" spans="1:34" x14ac:dyDescent="0.25">
      <c r="A527" s="347">
        <f t="shared" ca="1" si="238"/>
        <v>0.1</v>
      </c>
      <c r="B527" s="304">
        <f t="shared" ca="1" si="239"/>
        <v>7.2999999999999297</v>
      </c>
      <c r="D527" s="306">
        <f t="shared" ca="1" si="240"/>
        <v>-1.5528507134251976</v>
      </c>
      <c r="E527" s="307">
        <f t="shared" ca="1" si="241"/>
        <v>-20.53619438103609</v>
      </c>
      <c r="F527" s="304">
        <f t="shared" ca="1" si="242"/>
        <v>20.594820343811776</v>
      </c>
      <c r="G527" s="306">
        <f t="shared" ca="1" si="243"/>
        <v>22.677601994679222</v>
      </c>
      <c r="H527" s="307">
        <f t="shared" ca="1" si="244"/>
        <v>155.66275524815609</v>
      </c>
      <c r="I527" s="304">
        <f t="shared" ca="1" si="245"/>
        <v>157.30596620496129</v>
      </c>
      <c r="J527" s="306">
        <f t="shared" ca="1" si="246"/>
        <v>144.02449491795701</v>
      </c>
      <c r="K527" s="307">
        <f t="shared" ca="1" si="247"/>
        <v>1160.5557949980912</v>
      </c>
      <c r="L527" s="304">
        <f t="shared" ca="1" si="232"/>
        <v>1169.4583397624833</v>
      </c>
      <c r="M527" s="306">
        <f t="shared" ca="1" si="248"/>
        <v>1.4261298717882689</v>
      </c>
      <c r="N527" s="304">
        <f t="shared" ca="1" si="249"/>
        <v>81.711222691001012</v>
      </c>
      <c r="P527" s="310">
        <f t="shared" ca="1" si="250"/>
        <v>23</v>
      </c>
      <c r="Q527" s="304">
        <f t="shared" ca="1" si="251"/>
        <v>0</v>
      </c>
      <c r="R527" s="306">
        <f t="shared" ca="1" si="252"/>
        <v>0</v>
      </c>
      <c r="S527" s="307">
        <f t="shared" ca="1" si="253"/>
        <v>10.637999999999975</v>
      </c>
      <c r="T527" s="304">
        <f t="shared" ca="1" si="233"/>
        <v>104.35877999999975</v>
      </c>
      <c r="U527" s="311">
        <f t="shared" ca="1" si="234"/>
        <v>0</v>
      </c>
      <c r="V527" s="306">
        <f t="shared" ca="1" si="235"/>
        <v>1.0906291580763945</v>
      </c>
      <c r="W527" s="304">
        <f t="shared" ca="1" si="236"/>
        <v>112.16453983895697</v>
      </c>
      <c r="Y527" s="314" t="str">
        <f t="shared" ca="1" si="254"/>
        <v/>
      </c>
      <c r="Z527" s="315" t="str">
        <f t="shared" ca="1" si="255"/>
        <v/>
      </c>
      <c r="AA527" s="316" t="str">
        <f t="shared" ca="1" si="256"/>
        <v/>
      </c>
      <c r="AC527" s="310" t="e">
        <f t="shared" ca="1" si="257"/>
        <v>#N/A</v>
      </c>
      <c r="AD527" s="323" t="e">
        <f t="shared" ca="1" si="258"/>
        <v>#N/A</v>
      </c>
      <c r="AE527" s="324">
        <f t="shared" ca="1" si="237"/>
        <v>1160.5557949980912</v>
      </c>
      <c r="AG527" s="306">
        <f t="shared" ca="1" si="259"/>
        <v>-20.546800975029825</v>
      </c>
      <c r="AH527" s="304">
        <f t="shared" ca="1" si="260"/>
        <v>-10.838016019454638</v>
      </c>
    </row>
    <row r="528" spans="1:34" x14ac:dyDescent="0.25">
      <c r="A528" s="347">
        <f t="shared" ca="1" si="238"/>
        <v>0.1</v>
      </c>
      <c r="B528" s="304">
        <f t="shared" ca="1" si="239"/>
        <v>7.3999999999999293</v>
      </c>
      <c r="D528" s="306">
        <f t="shared" ca="1" si="240"/>
        <v>-1.520013787495013</v>
      </c>
      <c r="E528" s="307">
        <f t="shared" ca="1" si="241"/>
        <v>-20.243622312984147</v>
      </c>
      <c r="F528" s="304">
        <f t="shared" ca="1" si="242"/>
        <v>20.300608026976054</v>
      </c>
      <c r="G528" s="306">
        <f t="shared" ca="1" si="243"/>
        <v>22.525600615929722</v>
      </c>
      <c r="H528" s="307">
        <f t="shared" ca="1" si="244"/>
        <v>153.63839301685766</v>
      </c>
      <c r="I528" s="304">
        <f t="shared" ca="1" si="245"/>
        <v>155.28090189044752</v>
      </c>
      <c r="J528" s="306">
        <f t="shared" ca="1" si="246"/>
        <v>146.28465504848745</v>
      </c>
      <c r="K528" s="307">
        <f t="shared" ca="1" si="247"/>
        <v>1176.0208524113418</v>
      </c>
      <c r="L528" s="304">
        <f t="shared" ca="1" si="232"/>
        <v>1185.0840668952367</v>
      </c>
      <c r="M528" s="306">
        <f t="shared" ca="1" si="248"/>
        <v>1.4252191138675845</v>
      </c>
      <c r="N528" s="304">
        <f t="shared" ca="1" si="249"/>
        <v>81.659040105987685</v>
      </c>
      <c r="P528" s="310">
        <f t="shared" ca="1" si="250"/>
        <v>23</v>
      </c>
      <c r="Q528" s="304">
        <f t="shared" ca="1" si="251"/>
        <v>0</v>
      </c>
      <c r="R528" s="306">
        <f t="shared" ca="1" si="252"/>
        <v>0</v>
      </c>
      <c r="S528" s="307">
        <f t="shared" ca="1" si="253"/>
        <v>10.637999999999975</v>
      </c>
      <c r="T528" s="304">
        <f t="shared" ca="1" si="233"/>
        <v>104.35877999999975</v>
      </c>
      <c r="U528" s="311">
        <f t="shared" ca="1" si="234"/>
        <v>0</v>
      </c>
      <c r="V528" s="306">
        <f t="shared" ca="1" si="235"/>
        <v>1.0889380312057215</v>
      </c>
      <c r="W528" s="304">
        <f t="shared" ca="1" si="236"/>
        <v>109.12577495030571</v>
      </c>
      <c r="Y528" s="314" t="str">
        <f t="shared" ca="1" si="254"/>
        <v/>
      </c>
      <c r="Z528" s="315" t="str">
        <f t="shared" ca="1" si="255"/>
        <v/>
      </c>
      <c r="AA528" s="316" t="str">
        <f t="shared" ca="1" si="256"/>
        <v/>
      </c>
      <c r="AC528" s="310" t="e">
        <f t="shared" ca="1" si="257"/>
        <v>#N/A</v>
      </c>
      <c r="AD528" s="323" t="e">
        <f t="shared" ca="1" si="258"/>
        <v>#N/A</v>
      </c>
      <c r="AE528" s="324">
        <f t="shared" ca="1" si="237"/>
        <v>1176.0208524113418</v>
      </c>
      <c r="AG528" s="306">
        <f t="shared" ca="1" si="259"/>
        <v>-20.251287157097842</v>
      </c>
      <c r="AH528" s="304">
        <f t="shared" ca="1" si="260"/>
        <v>-10.543761970197146</v>
      </c>
    </row>
    <row r="529" spans="1:34" x14ac:dyDescent="0.25">
      <c r="A529" s="347">
        <f t="shared" ca="1" si="238"/>
        <v>0.1</v>
      </c>
      <c r="B529" s="304">
        <f t="shared" ca="1" si="239"/>
        <v>7.4999999999999289</v>
      </c>
      <c r="D529" s="306">
        <f t="shared" ca="1" si="240"/>
        <v>-1.4880779783749192</v>
      </c>
      <c r="E529" s="307">
        <f t="shared" ca="1" si="241"/>
        <v>-19.959603252737089</v>
      </c>
      <c r="F529" s="304">
        <f t="shared" ca="1" si="242"/>
        <v>20.014997828538412</v>
      </c>
      <c r="G529" s="306">
        <f t="shared" ca="1" si="243"/>
        <v>22.37679281809223</v>
      </c>
      <c r="H529" s="307">
        <f t="shared" ca="1" si="244"/>
        <v>151.64243269158396</v>
      </c>
      <c r="I529" s="304">
        <f t="shared" ca="1" si="245"/>
        <v>153.28453362764751</v>
      </c>
      <c r="J529" s="306">
        <f t="shared" ca="1" si="246"/>
        <v>148.52977472018856</v>
      </c>
      <c r="K529" s="307">
        <f t="shared" ca="1" si="247"/>
        <v>1191.2848936967639</v>
      </c>
      <c r="L529" s="304">
        <f t="shared" ca="1" si="232"/>
        <v>1200.5085555415837</v>
      </c>
      <c r="M529" s="306">
        <f t="shared" ca="1" si="248"/>
        <v>1.424290726830612</v>
      </c>
      <c r="N529" s="304">
        <f t="shared" ca="1" si="249"/>
        <v>81.605847447014511</v>
      </c>
      <c r="P529" s="310">
        <f t="shared" ca="1" si="250"/>
        <v>23</v>
      </c>
      <c r="Q529" s="304">
        <f t="shared" ca="1" si="251"/>
        <v>0</v>
      </c>
      <c r="R529" s="306">
        <f t="shared" ca="1" si="252"/>
        <v>0</v>
      </c>
      <c r="S529" s="307">
        <f t="shared" ca="1" si="253"/>
        <v>10.637999999999975</v>
      </c>
      <c r="T529" s="304">
        <f t="shared" ca="1" si="233"/>
        <v>104.35877999999975</v>
      </c>
      <c r="U529" s="311">
        <f t="shared" ca="1" si="234"/>
        <v>0</v>
      </c>
      <c r="V529" s="306">
        <f t="shared" ca="1" si="235"/>
        <v>1.0872713061431587</v>
      </c>
      <c r="W529" s="304">
        <f t="shared" ca="1" si="236"/>
        <v>106.17510176776052</v>
      </c>
      <c r="Y529" s="314" t="str">
        <f t="shared" ca="1" si="254"/>
        <v/>
      </c>
      <c r="Z529" s="315" t="str">
        <f t="shared" ca="1" si="255"/>
        <v/>
      </c>
      <c r="AA529" s="316" t="str">
        <f t="shared" ca="1" si="256"/>
        <v/>
      </c>
      <c r="AC529" s="310" t="e">
        <f t="shared" ca="1" si="257"/>
        <v>#N/A</v>
      </c>
      <c r="AD529" s="323" t="e">
        <f t="shared" ca="1" si="258"/>
        <v>#N/A</v>
      </c>
      <c r="AE529" s="324">
        <f t="shared" ca="1" si="237"/>
        <v>1191.2848936967639</v>
      </c>
      <c r="AG529" s="306">
        <f t="shared" ca="1" si="259"/>
        <v>-19.964343209559331</v>
      </c>
      <c r="AH529" s="304">
        <f t="shared" ca="1" si="260"/>
        <v>-10.258110072410789</v>
      </c>
    </row>
    <row r="530" spans="1:34" x14ac:dyDescent="0.25">
      <c r="A530" s="347">
        <f t="shared" ca="1" si="238"/>
        <v>0.1</v>
      </c>
      <c r="B530" s="304">
        <f t="shared" ca="1" si="239"/>
        <v>7.5999999999999286</v>
      </c>
      <c r="D530" s="306">
        <f t="shared" ca="1" si="240"/>
        <v>-1.4570088977017435</v>
      </c>
      <c r="E530" s="307">
        <f t="shared" ca="1" si="241"/>
        <v>-19.683817731472942</v>
      </c>
      <c r="F530" s="304">
        <f t="shared" ca="1" si="242"/>
        <v>19.737668439150319</v>
      </c>
      <c r="G530" s="306">
        <f t="shared" ca="1" si="243"/>
        <v>22.231091928322055</v>
      </c>
      <c r="H530" s="307">
        <f t="shared" ca="1" si="244"/>
        <v>149.67405091843668</v>
      </c>
      <c r="I530" s="304">
        <f t="shared" ca="1" si="245"/>
        <v>151.31603671343061</v>
      </c>
      <c r="J530" s="306">
        <f t="shared" ca="1" si="246"/>
        <v>150.76016895750928</v>
      </c>
      <c r="K530" s="307">
        <f t="shared" ca="1" si="247"/>
        <v>1206.350717877265</v>
      </c>
      <c r="L530" s="304">
        <f t="shared" ca="1" si="232"/>
        <v>1215.7346269096267</v>
      </c>
      <c r="M530" s="306">
        <f t="shared" ca="1" si="248"/>
        <v>1.4233443074643615</v>
      </c>
      <c r="N530" s="304">
        <f t="shared" ca="1" si="249"/>
        <v>81.551621611678911</v>
      </c>
      <c r="P530" s="310">
        <f t="shared" ca="1" si="250"/>
        <v>23</v>
      </c>
      <c r="Q530" s="304">
        <f t="shared" ca="1" si="251"/>
        <v>0</v>
      </c>
      <c r="R530" s="306">
        <f t="shared" ca="1" si="252"/>
        <v>0</v>
      </c>
      <c r="S530" s="307">
        <f t="shared" ca="1" si="253"/>
        <v>10.637999999999975</v>
      </c>
      <c r="T530" s="304">
        <f t="shared" ca="1" si="233"/>
        <v>104.35877999999975</v>
      </c>
      <c r="U530" s="311">
        <f t="shared" ca="1" si="234"/>
        <v>0</v>
      </c>
      <c r="V530" s="306">
        <f t="shared" ca="1" si="235"/>
        <v>1.0856285778199586</v>
      </c>
      <c r="W530" s="304">
        <f t="shared" ca="1" si="236"/>
        <v>103.30926406098524</v>
      </c>
      <c r="Y530" s="314" t="str">
        <f t="shared" ca="1" si="254"/>
        <v/>
      </c>
      <c r="Z530" s="315" t="str">
        <f t="shared" ca="1" si="255"/>
        <v/>
      </c>
      <c r="AA530" s="316" t="str">
        <f t="shared" ca="1" si="256"/>
        <v/>
      </c>
      <c r="AC530" s="310" t="e">
        <f t="shared" ca="1" si="257"/>
        <v>#N/A</v>
      </c>
      <c r="AD530" s="323" t="e">
        <f t="shared" ca="1" si="258"/>
        <v>#N/A</v>
      </c>
      <c r="AE530" s="324">
        <f t="shared" ca="1" si="237"/>
        <v>1206.350717877265</v>
      </c>
      <c r="AG530" s="306">
        <f t="shared" ca="1" si="259"/>
        <v>-19.685646818264658</v>
      </c>
      <c r="AH530" s="304">
        <f t="shared" ca="1" si="260"/>
        <v>-9.9807390268622651</v>
      </c>
    </row>
    <row r="531" spans="1:34" x14ac:dyDescent="0.25">
      <c r="A531" s="347">
        <f t="shared" ca="1" si="238"/>
        <v>0.1</v>
      </c>
      <c r="B531" s="304">
        <f t="shared" ca="1" si="239"/>
        <v>7.6999999999999282</v>
      </c>
      <c r="D531" s="306">
        <f t="shared" ca="1" si="240"/>
        <v>-1.4267737767566777</v>
      </c>
      <c r="E531" s="307">
        <f t="shared" ca="1" si="241"/>
        <v>-19.415961398563091</v>
      </c>
      <c r="F531" s="304">
        <f t="shared" ca="1" si="242"/>
        <v>19.468313754419835</v>
      </c>
      <c r="G531" s="306">
        <f t="shared" ca="1" si="243"/>
        <v>22.088414550646387</v>
      </c>
      <c r="H531" s="307">
        <f t="shared" ca="1" si="244"/>
        <v>147.73245477858038</v>
      </c>
      <c r="I531" s="304">
        <f t="shared" ca="1" si="245"/>
        <v>149.37461716190774</v>
      </c>
      <c r="J531" s="306">
        <f t="shared" ca="1" si="246"/>
        <v>152.97614428145769</v>
      </c>
      <c r="K531" s="307">
        <f t="shared" ca="1" si="247"/>
        <v>1221.2210431621158</v>
      </c>
      <c r="L531" s="304">
        <f t="shared" ca="1" si="232"/>
        <v>1230.7650210260233</v>
      </c>
      <c r="M531" s="306">
        <f t="shared" ca="1" si="248"/>
        <v>1.4223794390129014</v>
      </c>
      <c r="N531" s="304">
        <f t="shared" ca="1" si="249"/>
        <v>81.496338721624923</v>
      </c>
      <c r="P531" s="310">
        <f t="shared" ca="1" si="250"/>
        <v>23</v>
      </c>
      <c r="Q531" s="304">
        <f t="shared" ca="1" si="251"/>
        <v>0</v>
      </c>
      <c r="R531" s="306">
        <f t="shared" ca="1" si="252"/>
        <v>0</v>
      </c>
      <c r="S531" s="307">
        <f t="shared" ca="1" si="253"/>
        <v>10.637999999999975</v>
      </c>
      <c r="T531" s="304">
        <f t="shared" ca="1" si="233"/>
        <v>104.35877999999975</v>
      </c>
      <c r="U531" s="311">
        <f t="shared" ca="1" si="234"/>
        <v>0</v>
      </c>
      <c r="V531" s="306">
        <f t="shared" ca="1" si="235"/>
        <v>1.0840094533362743</v>
      </c>
      <c r="W531" s="304">
        <f t="shared" ca="1" si="236"/>
        <v>100.52515823563705</v>
      </c>
      <c r="Y531" s="314" t="str">
        <f t="shared" ca="1" si="254"/>
        <v/>
      </c>
      <c r="Z531" s="315" t="str">
        <f t="shared" ca="1" si="255"/>
        <v/>
      </c>
      <c r="AA531" s="316" t="str">
        <f t="shared" ca="1" si="256"/>
        <v/>
      </c>
      <c r="AC531" s="310" t="e">
        <f t="shared" ca="1" si="257"/>
        <v>#N/A</v>
      </c>
      <c r="AD531" s="323" t="e">
        <f t="shared" ca="1" si="258"/>
        <v>#N/A</v>
      </c>
      <c r="AE531" s="324">
        <f t="shared" ca="1" si="237"/>
        <v>1221.2210431621158</v>
      </c>
      <c r="AG531" s="306">
        <f t="shared" ca="1" si="259"/>
        <v>-19.414890832454482</v>
      </c>
      <c r="AH531" s="304">
        <f t="shared" ca="1" si="260"/>
        <v>-9.7113427393293374</v>
      </c>
    </row>
    <row r="532" spans="1:34" x14ac:dyDescent="0.25">
      <c r="A532" s="347">
        <f t="shared" ca="1" si="238"/>
        <v>0.1</v>
      </c>
      <c r="B532" s="304">
        <f t="shared" ca="1" si="239"/>
        <v>7.7999999999999279</v>
      </c>
      <c r="D532" s="306">
        <f t="shared" ca="1" si="240"/>
        <v>-1.3973413750719215</v>
      </c>
      <c r="E532" s="307">
        <f t="shared" ca="1" si="241"/>
        <v>-19.15574416962901</v>
      </c>
      <c r="F532" s="304">
        <f t="shared" ca="1" si="242"/>
        <v>19.206642018082277</v>
      </c>
      <c r="G532" s="306">
        <f t="shared" ca="1" si="243"/>
        <v>21.948680413139193</v>
      </c>
      <c r="H532" s="307">
        <f t="shared" ca="1" si="244"/>
        <v>145.81688036161748</v>
      </c>
      <c r="I532" s="304">
        <f t="shared" ca="1" si="245"/>
        <v>147.45951027408299</v>
      </c>
      <c r="J532" s="306">
        <f t="shared" ca="1" si="246"/>
        <v>155.17799902964697</v>
      </c>
      <c r="K532" s="307">
        <f t="shared" ca="1" si="247"/>
        <v>1235.8985099191257</v>
      </c>
      <c r="L532" s="304">
        <f t="shared" ca="1" si="232"/>
        <v>1245.6023997259961</v>
      </c>
      <c r="M532" s="306">
        <f t="shared" ca="1" si="248"/>
        <v>1.421395690634641</v>
      </c>
      <c r="N532" s="304">
        <f t="shared" ca="1" si="249"/>
        <v>81.439974091447766</v>
      </c>
      <c r="P532" s="310">
        <f t="shared" ca="1" si="250"/>
        <v>23</v>
      </c>
      <c r="Q532" s="304">
        <f t="shared" ca="1" si="251"/>
        <v>0</v>
      </c>
      <c r="R532" s="306">
        <f t="shared" ca="1" si="252"/>
        <v>0</v>
      </c>
      <c r="S532" s="307">
        <f t="shared" ca="1" si="253"/>
        <v>10.637999999999975</v>
      </c>
      <c r="T532" s="304">
        <f t="shared" ca="1" si="233"/>
        <v>104.35877999999975</v>
      </c>
      <c r="U532" s="311">
        <f t="shared" ca="1" si="234"/>
        <v>0</v>
      </c>
      <c r="V532" s="306">
        <f t="shared" ca="1" si="235"/>
        <v>1.0824135514968898</v>
      </c>
      <c r="W532" s="304">
        <f t="shared" ca="1" si="236"/>
        <v>97.81982481533376</v>
      </c>
      <c r="Y532" s="314" t="str">
        <f t="shared" ca="1" si="254"/>
        <v/>
      </c>
      <c r="Z532" s="315" t="str">
        <f t="shared" ca="1" si="255"/>
        <v/>
      </c>
      <c r="AA532" s="316" t="str">
        <f t="shared" ca="1" si="256"/>
        <v/>
      </c>
      <c r="AC532" s="310" t="e">
        <f t="shared" ca="1" si="257"/>
        <v>#N/A</v>
      </c>
      <c r="AD532" s="323" t="e">
        <f t="shared" ca="1" si="258"/>
        <v>#N/A</v>
      </c>
      <c r="AE532" s="324">
        <f t="shared" ca="1" si="237"/>
        <v>1235.8985099191257</v>
      </c>
      <c r="AG532" s="306">
        <f t="shared" ca="1" si="259"/>
        <v>-19.151782405911099</v>
      </c>
      <c r="AH532" s="304">
        <f t="shared" ca="1" si="260"/>
        <v>-9.4496294637748903</v>
      </c>
    </row>
    <row r="533" spans="1:34" x14ac:dyDescent="0.25">
      <c r="A533" s="347">
        <f t="shared" ca="1" si="238"/>
        <v>0.1</v>
      </c>
      <c r="B533" s="304">
        <f t="shared" ca="1" si="239"/>
        <v>7.8999999999999275</v>
      </c>
      <c r="D533" s="306">
        <f t="shared" ca="1" si="240"/>
        <v>-1.3686818950222956</v>
      </c>
      <c r="E533" s="307">
        <f t="shared" ca="1" si="241"/>
        <v>-18.902889430387113</v>
      </c>
      <c r="F533" s="304">
        <f t="shared" ca="1" si="242"/>
        <v>18.952375021279064</v>
      </c>
      <c r="G533" s="306">
        <f t="shared" ca="1" si="243"/>
        <v>21.811812223636963</v>
      </c>
      <c r="H533" s="307">
        <f t="shared" ca="1" si="244"/>
        <v>143.92659141857877</v>
      </c>
      <c r="I533" s="304">
        <f t="shared" ca="1" si="245"/>
        <v>145.56997928779722</v>
      </c>
      <c r="J533" s="306">
        <f t="shared" ca="1" si="246"/>
        <v>157.36602366148577</v>
      </c>
      <c r="K533" s="307">
        <f t="shared" ca="1" si="247"/>
        <v>1250.3856835081356</v>
      </c>
      <c r="L533" s="304">
        <f t="shared" ca="1" si="232"/>
        <v>1260.2493495039521</v>
      </c>
      <c r="M533" s="306">
        <f t="shared" ca="1" si="248"/>
        <v>1.4203926168328236</v>
      </c>
      <c r="N533" s="304">
        <f t="shared" ca="1" si="249"/>
        <v>81.382502196063484</v>
      </c>
      <c r="P533" s="310">
        <f t="shared" ca="1" si="250"/>
        <v>23</v>
      </c>
      <c r="Q533" s="304">
        <f t="shared" ca="1" si="251"/>
        <v>0</v>
      </c>
      <c r="R533" s="306">
        <f t="shared" ca="1" si="252"/>
        <v>0</v>
      </c>
      <c r="S533" s="307">
        <f t="shared" ca="1" si="253"/>
        <v>10.637999999999975</v>
      </c>
      <c r="T533" s="304">
        <f t="shared" ca="1" si="233"/>
        <v>104.35877999999975</v>
      </c>
      <c r="U533" s="311">
        <f t="shared" ca="1" si="234"/>
        <v>0</v>
      </c>
      <c r="V533" s="306">
        <f t="shared" ca="1" si="235"/>
        <v>1.0808405023692162</v>
      </c>
      <c r="W533" s="304">
        <f t="shared" ca="1" si="236"/>
        <v>95.190440476123612</v>
      </c>
      <c r="Y533" s="314" t="str">
        <f t="shared" ca="1" si="254"/>
        <v/>
      </c>
      <c r="Z533" s="315" t="str">
        <f t="shared" ca="1" si="255"/>
        <v/>
      </c>
      <c r="AA533" s="316" t="str">
        <f t="shared" ca="1" si="256"/>
        <v/>
      </c>
      <c r="AC533" s="310" t="e">
        <f t="shared" ca="1" si="257"/>
        <v>#N/A</v>
      </c>
      <c r="AD533" s="323" t="e">
        <f t="shared" ca="1" si="258"/>
        <v>#N/A</v>
      </c>
      <c r="AE533" s="324">
        <f t="shared" ca="1" si="237"/>
        <v>1250.3856835081356</v>
      </c>
      <c r="AG533" s="306">
        <f t="shared" ca="1" si="259"/>
        <v>-18.896042194102307</v>
      </c>
      <c r="AH533" s="304">
        <f t="shared" ca="1" si="260"/>
        <v>-9.1953210016294413</v>
      </c>
    </row>
    <row r="534" spans="1:34" x14ac:dyDescent="0.25">
      <c r="A534" s="347">
        <f t="shared" ca="1" si="238"/>
        <v>0.1</v>
      </c>
      <c r="B534" s="304">
        <f t="shared" ca="1" si="239"/>
        <v>7.9999999999999272</v>
      </c>
      <c r="D534" s="306">
        <f t="shared" ca="1" si="240"/>
        <v>-1.3407669019569106</v>
      </c>
      <c r="E534" s="307">
        <f t="shared" ca="1" si="241"/>
        <v>-18.657133292133636</v>
      </c>
      <c r="F534" s="304">
        <f t="shared" ca="1" si="242"/>
        <v>18.705247353772801</v>
      </c>
      <c r="G534" s="306">
        <f t="shared" ca="1" si="243"/>
        <v>21.677735533441272</v>
      </c>
      <c r="H534" s="307">
        <f t="shared" ca="1" si="244"/>
        <v>142.06087808936542</v>
      </c>
      <c r="I534" s="304">
        <f t="shared" ca="1" si="245"/>
        <v>143.70531410278247</v>
      </c>
      <c r="J534" s="306">
        <f t="shared" ca="1" si="246"/>
        <v>159.54050104933967</v>
      </c>
      <c r="K534" s="307">
        <f t="shared" ca="1" si="247"/>
        <v>1264.6850569835328</v>
      </c>
      <c r="L534" s="304">
        <f t="shared" ca="1" si="232"/>
        <v>1274.7083842324548</v>
      </c>
      <c r="M534" s="306">
        <f t="shared" ca="1" si="248"/>
        <v>1.4193697568577077</v>
      </c>
      <c r="N534" s="304">
        <f t="shared" ca="1" si="249"/>
        <v>81.323896636456482</v>
      </c>
      <c r="P534" s="310">
        <f t="shared" ca="1" si="250"/>
        <v>23</v>
      </c>
      <c r="Q534" s="304">
        <f t="shared" ca="1" si="251"/>
        <v>0</v>
      </c>
      <c r="R534" s="306">
        <f t="shared" ca="1" si="252"/>
        <v>0</v>
      </c>
      <c r="S534" s="307">
        <f t="shared" ca="1" si="253"/>
        <v>10.637999999999975</v>
      </c>
      <c r="T534" s="304">
        <f t="shared" ca="1" si="233"/>
        <v>104.35877999999975</v>
      </c>
      <c r="U534" s="311">
        <f t="shared" ca="1" si="234"/>
        <v>0</v>
      </c>
      <c r="V534" s="306">
        <f t="shared" ca="1" si="235"/>
        <v>1.0792899468622938</v>
      </c>
      <c r="W534" s="304">
        <f t="shared" ca="1" si="236"/>
        <v>92.634310592765715</v>
      </c>
      <c r="Y534" s="314" t="str">
        <f t="shared" ca="1" si="254"/>
        <v/>
      </c>
      <c r="Z534" s="315" t="str">
        <f t="shared" ca="1" si="255"/>
        <v/>
      </c>
      <c r="AA534" s="316" t="str">
        <f t="shared" ca="1" si="256"/>
        <v/>
      </c>
      <c r="AC534" s="310">
        <f t="shared" ca="1" si="257"/>
        <v>7.9999999999999272</v>
      </c>
      <c r="AD534" s="323">
        <f t="shared" ca="1" si="258"/>
        <v>159.54050104933967</v>
      </c>
      <c r="AE534" s="324">
        <f t="shared" ca="1" si="237"/>
        <v>1264.6850569835328</v>
      </c>
      <c r="AG534" s="306">
        <f t="shared" ca="1" si="259"/>
        <v>-18.647403603138265</v>
      </c>
      <c r="AH534" s="304">
        <f t="shared" ca="1" si="260"/>
        <v>-8.9481519530103242</v>
      </c>
    </row>
    <row r="535" spans="1:34" x14ac:dyDescent="0.25">
      <c r="A535" s="347">
        <f t="shared" ca="1" si="238"/>
        <v>0.1</v>
      </c>
      <c r="B535" s="304">
        <f t="shared" ca="1" si="239"/>
        <v>8.0999999999999268</v>
      </c>
      <c r="D535" s="306">
        <f t="shared" ca="1" si="240"/>
        <v>-1.3135692494629705</v>
      </c>
      <c r="E535" s="307">
        <f t="shared" ca="1" si="241"/>
        <v>-18.418223895066362</v>
      </c>
      <c r="F535" s="304">
        <f t="shared" ca="1" si="242"/>
        <v>18.465005703273643</v>
      </c>
      <c r="G535" s="306">
        <f t="shared" ca="1" si="243"/>
        <v>21.546378608494976</v>
      </c>
      <c r="H535" s="307">
        <f t="shared" ca="1" si="244"/>
        <v>140.21905569985879</v>
      </c>
      <c r="I535" s="304">
        <f t="shared" ca="1" si="245"/>
        <v>141.86483007602945</v>
      </c>
      <c r="J535" s="306">
        <f t="shared" ca="1" si="246"/>
        <v>161.70170675643649</v>
      </c>
      <c r="K535" s="307">
        <f t="shared" ca="1" si="247"/>
        <v>1278.799053672994</v>
      </c>
      <c r="L535" s="304">
        <f t="shared" ca="1" si="232"/>
        <v>1288.9819477567905</v>
      </c>
      <c r="M535" s="306">
        <f t="shared" ca="1" si="248"/>
        <v>1.4183266340788152</v>
      </c>
      <c r="N535" s="304">
        <f t="shared" ca="1" si="249"/>
        <v>81.264130103711992</v>
      </c>
      <c r="P535" s="310">
        <f t="shared" ca="1" si="250"/>
        <v>23</v>
      </c>
      <c r="Q535" s="304">
        <f t="shared" ca="1" si="251"/>
        <v>0</v>
      </c>
      <c r="R535" s="306">
        <f t="shared" ca="1" si="252"/>
        <v>0</v>
      </c>
      <c r="S535" s="307">
        <f t="shared" ca="1" si="253"/>
        <v>10.637999999999975</v>
      </c>
      <c r="T535" s="304">
        <f t="shared" ca="1" si="233"/>
        <v>104.35877999999975</v>
      </c>
      <c r="U535" s="311">
        <f t="shared" ca="1" si="234"/>
        <v>0</v>
      </c>
      <c r="V535" s="306">
        <f t="shared" ca="1" si="235"/>
        <v>1.0777615363256121</v>
      </c>
      <c r="W535" s="304">
        <f t="shared" ca="1" si="236"/>
        <v>90.148862259477994</v>
      </c>
      <c r="Y535" s="314" t="str">
        <f t="shared" ca="1" si="254"/>
        <v/>
      </c>
      <c r="Z535" s="315" t="str">
        <f t="shared" ca="1" si="255"/>
        <v/>
      </c>
      <c r="AA535" s="316" t="str">
        <f t="shared" ca="1" si="256"/>
        <v/>
      </c>
      <c r="AC535" s="310" t="e">
        <f t="shared" ca="1" si="257"/>
        <v>#N/A</v>
      </c>
      <c r="AD535" s="323" t="e">
        <f t="shared" ca="1" si="258"/>
        <v>#N/A</v>
      </c>
      <c r="AE535" s="324">
        <f t="shared" ca="1" si="237"/>
        <v>1278.799053672994</v>
      </c>
      <c r="AG535" s="306">
        <f t="shared" ca="1" si="259"/>
        <v>-18.405612086708253</v>
      </c>
      <c r="AH535" s="304">
        <f t="shared" ca="1" si="260"/>
        <v>-8.707869016052447</v>
      </c>
    </row>
    <row r="536" spans="1:34" x14ac:dyDescent="0.25">
      <c r="A536" s="347">
        <f t="shared" ca="1" si="238"/>
        <v>0.1</v>
      </c>
      <c r="B536" s="304">
        <f t="shared" ca="1" si="239"/>
        <v>8.1999999999999265</v>
      </c>
      <c r="D536" s="306">
        <f t="shared" ca="1" si="240"/>
        <v>-1.2870630093873172</v>
      </c>
      <c r="E536" s="307">
        <f t="shared" ca="1" si="241"/>
        <v>-18.185920755952694</v>
      </c>
      <c r="F536" s="304">
        <f t="shared" ca="1" si="242"/>
        <v>18.231408199366392</v>
      </c>
      <c r="G536" s="306">
        <f t="shared" ca="1" si="243"/>
        <v>21.417672307556245</v>
      </c>
      <c r="H536" s="307">
        <f t="shared" ca="1" si="244"/>
        <v>138.40046362426352</v>
      </c>
      <c r="I536" s="304">
        <f t="shared" ca="1" si="245"/>
        <v>140.04786688302306</v>
      </c>
      <c r="J536" s="306">
        <f t="shared" ca="1" si="246"/>
        <v>163.84990930223904</v>
      </c>
      <c r="K536" s="307">
        <f t="shared" ca="1" si="247"/>
        <v>1292.7300296392</v>
      </c>
      <c r="L536" s="304">
        <f t="shared" ca="1" si="232"/>
        <v>1303.0724163719062</v>
      </c>
      <c r="M536" s="306">
        <f t="shared" ca="1" si="248"/>
        <v>1.4172627553255148</v>
      </c>
      <c r="N536" s="304">
        <f t="shared" ca="1" si="249"/>
        <v>81.203174341234231</v>
      </c>
      <c r="P536" s="310">
        <f t="shared" ca="1" si="250"/>
        <v>23</v>
      </c>
      <c r="Q536" s="304">
        <f t="shared" ca="1" si="251"/>
        <v>0</v>
      </c>
      <c r="R536" s="306">
        <f t="shared" ca="1" si="252"/>
        <v>0</v>
      </c>
      <c r="S536" s="307">
        <f t="shared" ca="1" si="253"/>
        <v>10.637999999999975</v>
      </c>
      <c r="T536" s="304">
        <f t="shared" ca="1" si="233"/>
        <v>104.35877999999975</v>
      </c>
      <c r="U536" s="311">
        <f t="shared" ca="1" si="234"/>
        <v>0</v>
      </c>
      <c r="V536" s="306">
        <f t="shared" ca="1" si="235"/>
        <v>1.0762549321666433</v>
      </c>
      <c r="W536" s="304">
        <f t="shared" ca="1" si="236"/>
        <v>87.731637750856194</v>
      </c>
      <c r="Y536" s="314" t="str">
        <f t="shared" ca="1" si="254"/>
        <v/>
      </c>
      <c r="Z536" s="315" t="str">
        <f t="shared" ca="1" si="255"/>
        <v/>
      </c>
      <c r="AA536" s="316" t="str">
        <f t="shared" ca="1" si="256"/>
        <v/>
      </c>
      <c r="AC536" s="310" t="e">
        <f t="shared" ca="1" si="257"/>
        <v>#N/A</v>
      </c>
      <c r="AD536" s="323" t="e">
        <f t="shared" ca="1" si="258"/>
        <v>#N/A</v>
      </c>
      <c r="AE536" s="324">
        <f t="shared" ca="1" si="237"/>
        <v>1292.7300296392</v>
      </c>
      <c r="AG536" s="306">
        <f t="shared" ca="1" si="259"/>
        <v>-18.170424487478037</v>
      </c>
      <c r="AH536" s="304">
        <f t="shared" ca="1" si="260"/>
        <v>-8.4742303308402143</v>
      </c>
    </row>
    <row r="537" spans="1:34" x14ac:dyDescent="0.25">
      <c r="A537" s="347">
        <f t="shared" ca="1" si="238"/>
        <v>0.1</v>
      </c>
      <c r="B537" s="304">
        <f t="shared" ca="1" si="239"/>
        <v>8.2999999999999261</v>
      </c>
      <c r="D537" s="306">
        <f t="shared" ca="1" si="240"/>
        <v>-1.2612234062719347</v>
      </c>
      <c r="E537" s="307">
        <f t="shared" ca="1" si="241"/>
        <v>-17.959994156938578</v>
      </c>
      <c r="F537" s="304">
        <f t="shared" ca="1" si="242"/>
        <v>18.004223798814433</v>
      </c>
      <c r="G537" s="306">
        <f t="shared" ca="1" si="243"/>
        <v>21.29154996692905</v>
      </c>
      <c r="H537" s="307">
        <f t="shared" ca="1" si="244"/>
        <v>136.60446420856965</v>
      </c>
      <c r="I537" s="304">
        <f t="shared" ca="1" si="245"/>
        <v>138.25378744072302</v>
      </c>
      <c r="J537" s="306">
        <f t="shared" ca="1" si="246"/>
        <v>165.9853704159633</v>
      </c>
      <c r="K537" s="307">
        <f t="shared" ca="1" si="247"/>
        <v>1306.4802760308417</v>
      </c>
      <c r="L537" s="304">
        <f t="shared" ca="1" si="232"/>
        <v>1316.982101188072</v>
      </c>
      <c r="M537" s="306">
        <f t="shared" ca="1" si="248"/>
        <v>1.4161776101940982</v>
      </c>
      <c r="N537" s="304">
        <f t="shared" ca="1" si="249"/>
        <v>81.141000105044895</v>
      </c>
      <c r="P537" s="310">
        <f t="shared" ca="1" si="250"/>
        <v>23</v>
      </c>
      <c r="Q537" s="304">
        <f t="shared" ca="1" si="251"/>
        <v>0</v>
      </c>
      <c r="R537" s="306">
        <f t="shared" ca="1" si="252"/>
        <v>0</v>
      </c>
      <c r="S537" s="307">
        <f t="shared" ca="1" si="253"/>
        <v>10.637999999999975</v>
      </c>
      <c r="T537" s="304">
        <f t="shared" ca="1" si="233"/>
        <v>104.35877999999975</v>
      </c>
      <c r="U537" s="311">
        <f t="shared" ca="1" si="234"/>
        <v>0</v>
      </c>
      <c r="V537" s="306">
        <f t="shared" ca="1" si="235"/>
        <v>1.074769805486059</v>
      </c>
      <c r="W537" s="304">
        <f t="shared" ca="1" si="236"/>
        <v>85.380288391438185</v>
      </c>
      <c r="Y537" s="314" t="str">
        <f t="shared" ca="1" si="254"/>
        <v/>
      </c>
      <c r="Z537" s="315" t="str">
        <f t="shared" ca="1" si="255"/>
        <v/>
      </c>
      <c r="AA537" s="316" t="str">
        <f t="shared" ca="1" si="256"/>
        <v/>
      </c>
      <c r="AC537" s="310" t="e">
        <f t="shared" ca="1" si="257"/>
        <v>#N/A</v>
      </c>
      <c r="AD537" s="323" t="e">
        <f t="shared" ca="1" si="258"/>
        <v>#N/A</v>
      </c>
      <c r="AE537" s="324">
        <f t="shared" ca="1" si="237"/>
        <v>1306.4802760308417</v>
      </c>
      <c r="AG537" s="306">
        <f t="shared" ca="1" si="259"/>
        <v>-17.941608419714591</v>
      </c>
      <c r="AH537" s="304">
        <f t="shared" ca="1" si="260"/>
        <v>-8.2470048647167129</v>
      </c>
    </row>
    <row r="538" spans="1:34" x14ac:dyDescent="0.25">
      <c r="A538" s="347">
        <f t="shared" ca="1" si="238"/>
        <v>0.1</v>
      </c>
      <c r="B538" s="304">
        <f t="shared" ca="1" si="239"/>
        <v>8.3999999999999257</v>
      </c>
      <c r="D538" s="306">
        <f t="shared" ca="1" si="240"/>
        <v>-1.2360267558873785</v>
      </c>
      <c r="E538" s="307">
        <f t="shared" ca="1" si="241"/>
        <v>-17.740224572551647</v>
      </c>
      <c r="F538" s="304">
        <f t="shared" ca="1" si="242"/>
        <v>17.783231709276993</v>
      </c>
      <c r="G538" s="306">
        <f t="shared" ca="1" si="243"/>
        <v>21.167947291340312</v>
      </c>
      <c r="H538" s="307">
        <f t="shared" ca="1" si="244"/>
        <v>134.83044175131448</v>
      </c>
      <c r="I538" s="304">
        <f t="shared" ca="1" si="245"/>
        <v>136.48197688846528</v>
      </c>
      <c r="J538" s="306">
        <f t="shared" ca="1" si="246"/>
        <v>168.10834527887678</v>
      </c>
      <c r="K538" s="307">
        <f t="shared" ca="1" si="247"/>
        <v>1320.052021328836</v>
      </c>
      <c r="L538" s="304">
        <f t="shared" ca="1" si="232"/>
        <v>1330.7132503912133</v>
      </c>
      <c r="M538" s="306">
        <f t="shared" ca="1" si="248"/>
        <v>1.4150706703193767</v>
      </c>
      <c r="N538" s="304">
        <f t="shared" ca="1" si="249"/>
        <v>81.077577122048609</v>
      </c>
      <c r="P538" s="310">
        <f t="shared" ca="1" si="250"/>
        <v>23</v>
      </c>
      <c r="Q538" s="304">
        <f t="shared" ca="1" si="251"/>
        <v>0</v>
      </c>
      <c r="R538" s="306">
        <f t="shared" ca="1" si="252"/>
        <v>0</v>
      </c>
      <c r="S538" s="307">
        <f t="shared" ca="1" si="253"/>
        <v>10.637999999999975</v>
      </c>
      <c r="T538" s="304">
        <f t="shared" ca="1" si="233"/>
        <v>104.35877999999975</v>
      </c>
      <c r="U538" s="311">
        <f t="shared" ca="1" si="234"/>
        <v>0</v>
      </c>
      <c r="V538" s="306">
        <f t="shared" ca="1" si="235"/>
        <v>1.0733058367296577</v>
      </c>
      <c r="W538" s="304">
        <f t="shared" ca="1" si="236"/>
        <v>83.092568804912304</v>
      </c>
      <c r="Y538" s="314" t="str">
        <f t="shared" ca="1" si="254"/>
        <v/>
      </c>
      <c r="Z538" s="315" t="str">
        <f t="shared" ca="1" si="255"/>
        <v/>
      </c>
      <c r="AA538" s="316" t="str">
        <f t="shared" ca="1" si="256"/>
        <v/>
      </c>
      <c r="AC538" s="310" t="e">
        <f t="shared" ca="1" si="257"/>
        <v>#N/A</v>
      </c>
      <c r="AD538" s="323" t="e">
        <f t="shared" ca="1" si="258"/>
        <v>#N/A</v>
      </c>
      <c r="AE538" s="324">
        <f t="shared" ca="1" si="237"/>
        <v>1320.052021328836</v>
      </c>
      <c r="AG538" s="306">
        <f t="shared" ca="1" si="259"/>
        <v>-17.718941690164414</v>
      </c>
      <c r="AH538" s="304">
        <f t="shared" ca="1" si="260"/>
        <v>-8.025971836006617</v>
      </c>
    </row>
    <row r="539" spans="1:34" x14ac:dyDescent="0.25">
      <c r="A539" s="347">
        <f t="shared" ca="1" si="238"/>
        <v>0.1</v>
      </c>
      <c r="B539" s="304">
        <f t="shared" ca="1" si="239"/>
        <v>8.4999999999999254</v>
      </c>
      <c r="D539" s="306">
        <f t="shared" ca="1" si="240"/>
        <v>-1.2114504075734522</v>
      </c>
      <c r="E539" s="307">
        <f t="shared" ca="1" si="241"/>
        <v>-17.526402132187851</v>
      </c>
      <c r="F539" s="304">
        <f t="shared" ca="1" si="242"/>
        <v>17.568220848713416</v>
      </c>
      <c r="G539" s="306">
        <f t="shared" ca="1" si="243"/>
        <v>21.046802250582967</v>
      </c>
      <c r="H539" s="307">
        <f t="shared" ca="1" si="244"/>
        <v>133.07780153809568</v>
      </c>
      <c r="I539" s="304">
        <f t="shared" ca="1" si="245"/>
        <v>134.73184162323295</v>
      </c>
      <c r="J539" s="306">
        <f t="shared" ca="1" si="246"/>
        <v>170.21908275597295</v>
      </c>
      <c r="K539" s="307">
        <f t="shared" ca="1" si="247"/>
        <v>1333.4474334933066</v>
      </c>
      <c r="L539" s="304">
        <f t="shared" ca="1" si="232"/>
        <v>1344.268051403503</v>
      </c>
      <c r="M539" s="306">
        <f t="shared" ca="1" si="248"/>
        <v>1.4139413886087036</v>
      </c>
      <c r="N539" s="304">
        <f t="shared" ca="1" si="249"/>
        <v>81.012874046145726</v>
      </c>
      <c r="P539" s="310">
        <f t="shared" ca="1" si="250"/>
        <v>23</v>
      </c>
      <c r="Q539" s="304">
        <f t="shared" ca="1" si="251"/>
        <v>0</v>
      </c>
      <c r="R539" s="306">
        <f t="shared" ca="1" si="252"/>
        <v>0</v>
      </c>
      <c r="S539" s="307">
        <f t="shared" ca="1" si="253"/>
        <v>10.637999999999975</v>
      </c>
      <c r="T539" s="304">
        <f t="shared" ca="1" si="233"/>
        <v>104.35877999999975</v>
      </c>
      <c r="U539" s="311">
        <f t="shared" ca="1" si="234"/>
        <v>0</v>
      </c>
      <c r="V539" s="306">
        <f t="shared" ca="1" si="235"/>
        <v>1.0718627153560971</v>
      </c>
      <c r="W539" s="304">
        <f t="shared" ca="1" si="236"/>
        <v>80.866331516269696</v>
      </c>
      <c r="Y539" s="314" t="str">
        <f t="shared" ca="1" si="254"/>
        <v/>
      </c>
      <c r="Z539" s="315" t="str">
        <f t="shared" ca="1" si="255"/>
        <v/>
      </c>
      <c r="AA539" s="316" t="str">
        <f t="shared" ca="1" si="256"/>
        <v/>
      </c>
      <c r="AC539" s="310" t="e">
        <f t="shared" ca="1" si="257"/>
        <v>#N/A</v>
      </c>
      <c r="AD539" s="323" t="e">
        <f t="shared" ca="1" si="258"/>
        <v>#N/A</v>
      </c>
      <c r="AE539" s="324">
        <f t="shared" ca="1" si="237"/>
        <v>1333.4474334933066</v>
      </c>
      <c r="AG539" s="306">
        <f t="shared" ca="1" si="259"/>
        <v>-17.502211754448428</v>
      </c>
      <c r="AH539" s="304">
        <f t="shared" ca="1" si="260"/>
        <v>-7.8109201734266307</v>
      </c>
    </row>
    <row r="540" spans="1:34" x14ac:dyDescent="0.25">
      <c r="A540" s="347">
        <f t="shared" ca="1" si="238"/>
        <v>0.1</v>
      </c>
      <c r="B540" s="304">
        <f t="shared" ca="1" si="239"/>
        <v>8.599999999999925</v>
      </c>
      <c r="D540" s="306">
        <f t="shared" ca="1" si="240"/>
        <v>-1.1874726901194737</v>
      </c>
      <c r="E540" s="307">
        <f t="shared" ca="1" si="241"/>
        <v>-17.318326115586078</v>
      </c>
      <c r="F540" s="304">
        <f t="shared" ca="1" si="242"/>
        <v>17.358989337964648</v>
      </c>
      <c r="G540" s="306">
        <f t="shared" ca="1" si="243"/>
        <v>20.92805498157102</v>
      </c>
      <c r="H540" s="307">
        <f t="shared" ca="1" si="244"/>
        <v>131.34596892653707</v>
      </c>
      <c r="I540" s="304">
        <f t="shared" ca="1" si="245"/>
        <v>133.00280838599801</v>
      </c>
      <c r="J540" s="306">
        <f t="shared" ca="1" si="246"/>
        <v>172.31782561758064</v>
      </c>
      <c r="K540" s="307">
        <f t="shared" ca="1" si="247"/>
        <v>1346.6686220165382</v>
      </c>
      <c r="L540" s="304">
        <f t="shared" ca="1" si="232"/>
        <v>1357.6486329494435</v>
      </c>
      <c r="M540" s="306">
        <f t="shared" ca="1" si="248"/>
        <v>1.4127891984361676</v>
      </c>
      <c r="N540" s="304">
        <f t="shared" ca="1" si="249"/>
        <v>80.946858412062966</v>
      </c>
      <c r="P540" s="310">
        <f t="shared" ca="1" si="250"/>
        <v>23</v>
      </c>
      <c r="Q540" s="304">
        <f t="shared" ca="1" si="251"/>
        <v>0</v>
      </c>
      <c r="R540" s="306">
        <f t="shared" ca="1" si="252"/>
        <v>0</v>
      </c>
      <c r="S540" s="307">
        <f t="shared" ca="1" si="253"/>
        <v>10.637999999999975</v>
      </c>
      <c r="T540" s="304">
        <f t="shared" ca="1" si="233"/>
        <v>104.35877999999975</v>
      </c>
      <c r="U540" s="311">
        <f t="shared" ca="1" si="234"/>
        <v>0</v>
      </c>
      <c r="V540" s="306">
        <f t="shared" ca="1" si="235"/>
        <v>1.0704401395195853</v>
      </c>
      <c r="W540" s="304">
        <f t="shared" ca="1" si="236"/>
        <v>78.699521882300772</v>
      </c>
      <c r="Y540" s="314" t="str">
        <f t="shared" ca="1" si="254"/>
        <v/>
      </c>
      <c r="Z540" s="315" t="str">
        <f t="shared" ca="1" si="255"/>
        <v/>
      </c>
      <c r="AA540" s="316" t="str">
        <f t="shared" ca="1" si="256"/>
        <v/>
      </c>
      <c r="AC540" s="310" t="e">
        <f t="shared" ca="1" si="257"/>
        <v>#N/A</v>
      </c>
      <c r="AD540" s="323" t="e">
        <f t="shared" ca="1" si="258"/>
        <v>#N/A</v>
      </c>
      <c r="AE540" s="324">
        <f t="shared" ca="1" si="237"/>
        <v>1346.6686220165382</v>
      </c>
      <c r="AG540" s="306">
        <f t="shared" ca="1" si="259"/>
        <v>-17.29121520645176</v>
      </c>
      <c r="AH540" s="304">
        <f t="shared" ca="1" si="260"/>
        <v>-7.601648008673612</v>
      </c>
    </row>
    <row r="541" spans="1:34" x14ac:dyDescent="0.25">
      <c r="A541" s="347">
        <f t="shared" ca="1" si="238"/>
        <v>0.1</v>
      </c>
      <c r="B541" s="304">
        <f t="shared" ca="1" si="239"/>
        <v>8.6999999999999247</v>
      </c>
      <c r="D541" s="306">
        <f t="shared" ca="1" si="240"/>
        <v>-1.1640728609376334</v>
      </c>
      <c r="E541" s="307">
        <f t="shared" ca="1" si="241"/>
        <v>-17.115804478991382</v>
      </c>
      <c r="F541" s="304">
        <f t="shared" ca="1" si="242"/>
        <v>17.155344024199369</v>
      </c>
      <c r="G541" s="306">
        <f t="shared" ca="1" si="243"/>
        <v>20.811647695477255</v>
      </c>
      <c r="H541" s="307">
        <f t="shared" ca="1" si="244"/>
        <v>129.63438847863793</v>
      </c>
      <c r="I541" s="304">
        <f t="shared" ca="1" si="245"/>
        <v>131.2943233960672</v>
      </c>
      <c r="J541" s="306">
        <f t="shared" ca="1" si="246"/>
        <v>174.40481075143305</v>
      </c>
      <c r="K541" s="307">
        <f t="shared" ca="1" si="247"/>
        <v>1359.7176398867969</v>
      </c>
      <c r="L541" s="304">
        <f t="shared" ca="1" si="232"/>
        <v>1370.85706703236</v>
      </c>
      <c r="M541" s="306">
        <f t="shared" ca="1" si="248"/>
        <v>1.4116135127945701</v>
      </c>
      <c r="N541" s="304">
        <f t="shared" ca="1" si="249"/>
        <v>80.879496586765299</v>
      </c>
      <c r="P541" s="310">
        <f t="shared" ca="1" si="250"/>
        <v>23</v>
      </c>
      <c r="Q541" s="304">
        <f t="shared" ca="1" si="251"/>
        <v>0</v>
      </c>
      <c r="R541" s="306">
        <f t="shared" ca="1" si="252"/>
        <v>0</v>
      </c>
      <c r="S541" s="307">
        <f t="shared" ca="1" si="253"/>
        <v>10.637999999999975</v>
      </c>
      <c r="T541" s="304">
        <f t="shared" ca="1" si="233"/>
        <v>104.35877999999975</v>
      </c>
      <c r="U541" s="311">
        <f t="shared" ca="1" si="234"/>
        <v>0</v>
      </c>
      <c r="V541" s="306">
        <f t="shared" ca="1" si="235"/>
        <v>1.0690378157667302</v>
      </c>
      <c r="W541" s="304">
        <f t="shared" ca="1" si="236"/>
        <v>76.590173327752368</v>
      </c>
      <c r="Y541" s="314" t="str">
        <f t="shared" ca="1" si="254"/>
        <v/>
      </c>
      <c r="Z541" s="315" t="str">
        <f t="shared" ca="1" si="255"/>
        <v/>
      </c>
      <c r="AA541" s="316" t="str">
        <f t="shared" ca="1" si="256"/>
        <v/>
      </c>
      <c r="AC541" s="310" t="e">
        <f t="shared" ca="1" si="257"/>
        <v>#N/A</v>
      </c>
      <c r="AD541" s="323" t="e">
        <f t="shared" ca="1" si="258"/>
        <v>#N/A</v>
      </c>
      <c r="AE541" s="324">
        <f t="shared" ca="1" si="237"/>
        <v>1359.7176398867969</v>
      </c>
      <c r="AG541" s="306">
        <f t="shared" ca="1" si="259"/>
        <v>-17.085757298383321</v>
      </c>
      <c r="AH541" s="304">
        <f t="shared" ca="1" si="260"/>
        <v>-7.3979621998778864</v>
      </c>
    </row>
    <row r="542" spans="1:34" x14ac:dyDescent="0.25">
      <c r="A542" s="347">
        <f t="shared" ca="1" si="238"/>
        <v>0.1</v>
      </c>
      <c r="B542" s="304">
        <f t="shared" ca="1" si="239"/>
        <v>8.7999999999999243</v>
      </c>
      <c r="D542" s="306">
        <f t="shared" ca="1" si="240"/>
        <v>-1.1412310583020555</v>
      </c>
      <c r="E542" s="307">
        <f t="shared" ca="1" si="241"/>
        <v>-16.91865340988673</v>
      </c>
      <c r="F542" s="304">
        <f t="shared" ca="1" si="242"/>
        <v>16.957100033092484</v>
      </c>
      <c r="G542" s="306">
        <f t="shared" ca="1" si="243"/>
        <v>20.697524589647049</v>
      </c>
      <c r="H542" s="307">
        <f t="shared" ca="1" si="244"/>
        <v>127.94252313764926</v>
      </c>
      <c r="I542" s="304">
        <f t="shared" ca="1" si="245"/>
        <v>129.60585153058082</v>
      </c>
      <c r="J542" s="306">
        <f t="shared" ca="1" si="246"/>
        <v>176.48026936568925</v>
      </c>
      <c r="K542" s="307">
        <f t="shared" ca="1" si="247"/>
        <v>1372.5964854676113</v>
      </c>
      <c r="L542" s="304">
        <f t="shared" ca="1" si="232"/>
        <v>1383.8953708259251</v>
      </c>
      <c r="M542" s="306">
        <f t="shared" ca="1" si="248"/>
        <v>1.4104137234026133</v>
      </c>
      <c r="N542" s="304">
        <f t="shared" ca="1" si="249"/>
        <v>80.810753718301612</v>
      </c>
      <c r="P542" s="310">
        <f t="shared" ca="1" si="250"/>
        <v>23</v>
      </c>
      <c r="Q542" s="304">
        <f t="shared" ca="1" si="251"/>
        <v>0</v>
      </c>
      <c r="R542" s="306">
        <f t="shared" ca="1" si="252"/>
        <v>0</v>
      </c>
      <c r="S542" s="307">
        <f t="shared" ca="1" si="253"/>
        <v>10.637999999999975</v>
      </c>
      <c r="T542" s="304">
        <f t="shared" ca="1" si="233"/>
        <v>104.35877999999975</v>
      </c>
      <c r="U542" s="311">
        <f t="shared" ca="1" si="234"/>
        <v>0</v>
      </c>
      <c r="V542" s="306">
        <f t="shared" ca="1" si="235"/>
        <v>1.0676554587468003</v>
      </c>
      <c r="W542" s="304">
        <f t="shared" ca="1" si="236"/>
        <v>74.536402866215724</v>
      </c>
      <c r="Y542" s="314" t="str">
        <f t="shared" ca="1" si="254"/>
        <v/>
      </c>
      <c r="Z542" s="315" t="str">
        <f t="shared" ca="1" si="255"/>
        <v/>
      </c>
      <c r="AA542" s="316" t="str">
        <f t="shared" ca="1" si="256"/>
        <v/>
      </c>
      <c r="AC542" s="310" t="e">
        <f t="shared" ca="1" si="257"/>
        <v>#N/A</v>
      </c>
      <c r="AD542" s="323" t="e">
        <f t="shared" ca="1" si="258"/>
        <v>#N/A</v>
      </c>
      <c r="AE542" s="324">
        <f t="shared" ca="1" si="237"/>
        <v>1372.5964854676113</v>
      </c>
      <c r="AG542" s="306">
        <f t="shared" ca="1" si="259"/>
        <v>-16.885651489359176</v>
      </c>
      <c r="AH542" s="304">
        <f t="shared" ca="1" si="260"/>
        <v>-7.1996778837894855</v>
      </c>
    </row>
    <row r="543" spans="1:34" x14ac:dyDescent="0.25">
      <c r="A543" s="347">
        <f t="shared" ca="1" si="238"/>
        <v>0.1</v>
      </c>
      <c r="B543" s="304">
        <f t="shared" ca="1" si="239"/>
        <v>8.899999999999924</v>
      </c>
      <c r="D543" s="306">
        <f t="shared" ca="1" si="240"/>
        <v>-1.1189282564438681</v>
      </c>
      <c r="E543" s="307">
        <f t="shared" ca="1" si="241"/>
        <v>-16.726696908336919</v>
      </c>
      <c r="F543" s="304">
        <f t="shared" ca="1" si="242"/>
        <v>16.764080347768452</v>
      </c>
      <c r="G543" s="306">
        <f t="shared" ca="1" si="243"/>
        <v>20.585631764002663</v>
      </c>
      <c r="H543" s="307">
        <f t="shared" ca="1" si="244"/>
        <v>126.26985344681557</v>
      </c>
      <c r="I543" s="304">
        <f t="shared" ca="1" si="245"/>
        <v>127.93687554651082</v>
      </c>
      <c r="J543" s="306">
        <f t="shared" ca="1" si="246"/>
        <v>178.54442718337174</v>
      </c>
      <c r="K543" s="307">
        <f t="shared" ca="1" si="247"/>
        <v>1385.3071042968345</v>
      </c>
      <c r="L543" s="304">
        <f t="shared" ca="1" si="232"/>
        <v>1396.7655084850567</v>
      </c>
      <c r="M543" s="306">
        <f t="shared" ca="1" si="248"/>
        <v>1.40918919976456</v>
      </c>
      <c r="N543" s="304">
        <f t="shared" ca="1" si="249"/>
        <v>80.740593681927152</v>
      </c>
      <c r="P543" s="310">
        <f t="shared" ca="1" si="250"/>
        <v>23</v>
      </c>
      <c r="Q543" s="304">
        <f t="shared" ca="1" si="251"/>
        <v>0</v>
      </c>
      <c r="R543" s="306">
        <f t="shared" ca="1" si="252"/>
        <v>0</v>
      </c>
      <c r="S543" s="307">
        <f t="shared" ca="1" si="253"/>
        <v>10.637999999999975</v>
      </c>
      <c r="T543" s="304">
        <f t="shared" ca="1" si="233"/>
        <v>104.35877999999975</v>
      </c>
      <c r="U543" s="311">
        <f t="shared" ca="1" si="234"/>
        <v>0</v>
      </c>
      <c r="V543" s="306">
        <f t="shared" ca="1" si="235"/>
        <v>1.066292790934702</v>
      </c>
      <c r="W543" s="304">
        <f t="shared" ca="1" si="236"/>
        <v>72.53640688641886</v>
      </c>
      <c r="Y543" s="314" t="str">
        <f t="shared" ca="1" si="254"/>
        <v/>
      </c>
      <c r="Z543" s="315" t="str">
        <f t="shared" ca="1" si="255"/>
        <v/>
      </c>
      <c r="AA543" s="316" t="str">
        <f t="shared" ca="1" si="256"/>
        <v/>
      </c>
      <c r="AC543" s="310" t="e">
        <f t="shared" ca="1" si="257"/>
        <v>#N/A</v>
      </c>
      <c r="AD543" s="323" t="e">
        <f t="shared" ca="1" si="258"/>
        <v>#N/A</v>
      </c>
      <c r="AE543" s="324">
        <f t="shared" ca="1" si="237"/>
        <v>1385.3071042968345</v>
      </c>
      <c r="AG543" s="306">
        <f t="shared" ca="1" si="259"/>
        <v>-16.690719020527588</v>
      </c>
      <c r="AH543" s="304">
        <f t="shared" ca="1" si="260"/>
        <v>-7.0066180547298273</v>
      </c>
    </row>
    <row r="544" spans="1:34" x14ac:dyDescent="0.25">
      <c r="A544" s="347">
        <f t="shared" ca="1" si="238"/>
        <v>0.1</v>
      </c>
      <c r="B544" s="304">
        <f t="shared" ca="1" si="239"/>
        <v>8.9999999999999236</v>
      </c>
      <c r="D544" s="306">
        <f t="shared" ca="1" si="240"/>
        <v>-1.0971462233086102</v>
      </c>
      <c r="E544" s="307">
        <f t="shared" ca="1" si="241"/>
        <v>-16.539766393138294</v>
      </c>
      <c r="F544" s="304">
        <f t="shared" ca="1" si="242"/>
        <v>16.576115412692662</v>
      </c>
      <c r="G544" s="306">
        <f t="shared" ca="1" si="243"/>
        <v>20.4759171416718</v>
      </c>
      <c r="H544" s="307">
        <f t="shared" ca="1" si="244"/>
        <v>124.61587680750175</v>
      </c>
      <c r="I544" s="304">
        <f t="shared" ca="1" si="245"/>
        <v>126.28689534268811</v>
      </c>
      <c r="J544" s="306">
        <f t="shared" ca="1" si="246"/>
        <v>180.59750462865546</v>
      </c>
      <c r="K544" s="307">
        <f t="shared" ca="1" si="247"/>
        <v>1397.8513908095504</v>
      </c>
      <c r="L544" s="304">
        <f t="shared" ca="1" si="232"/>
        <v>1409.4693928802751</v>
      </c>
      <c r="M544" s="306">
        <f t="shared" ca="1" si="248"/>
        <v>1.407939288179431</v>
      </c>
      <c r="N544" s="304">
        <f t="shared" ca="1" si="249"/>
        <v>80.668979023334757</v>
      </c>
      <c r="P544" s="310">
        <f t="shared" ca="1" si="250"/>
        <v>23</v>
      </c>
      <c r="Q544" s="304">
        <f t="shared" ca="1" si="251"/>
        <v>0</v>
      </c>
      <c r="R544" s="306">
        <f t="shared" ca="1" si="252"/>
        <v>0</v>
      </c>
      <c r="S544" s="307">
        <f t="shared" ca="1" si="253"/>
        <v>10.637999999999975</v>
      </c>
      <c r="T544" s="304">
        <f t="shared" ca="1" si="233"/>
        <v>104.35877999999975</v>
      </c>
      <c r="U544" s="311">
        <f t="shared" ca="1" si="234"/>
        <v>0</v>
      </c>
      <c r="V544" s="306">
        <f t="shared" ca="1" si="235"/>
        <v>1.0649495423659996</v>
      </c>
      <c r="W544" s="304">
        <f t="shared" ca="1" si="236"/>
        <v>70.588457186062115</v>
      </c>
      <c r="Y544" s="314" t="str">
        <f t="shared" ca="1" si="254"/>
        <v/>
      </c>
      <c r="Z544" s="315" t="str">
        <f t="shared" ca="1" si="255"/>
        <v/>
      </c>
      <c r="AA544" s="316" t="str">
        <f t="shared" ca="1" si="256"/>
        <v/>
      </c>
      <c r="AC544" s="310">
        <f t="shared" ca="1" si="257"/>
        <v>8.9999999999999236</v>
      </c>
      <c r="AD544" s="323">
        <f t="shared" ca="1" si="258"/>
        <v>180.59750462865546</v>
      </c>
      <c r="AE544" s="324">
        <f t="shared" ca="1" si="237"/>
        <v>1397.8513908095504</v>
      </c>
      <c r="AG544" s="306">
        <f t="shared" ca="1" si="259"/>
        <v>-16.500788514902961</v>
      </c>
      <c r="AH544" s="304">
        <f t="shared" ca="1" si="260"/>
        <v>-6.8186131684921065</v>
      </c>
    </row>
    <row r="545" spans="1:34" x14ac:dyDescent="0.25">
      <c r="A545" s="347">
        <f t="shared" ca="1" si="238"/>
        <v>0.1</v>
      </c>
      <c r="B545" s="304">
        <f t="shared" ca="1" si="239"/>
        <v>9.0999999999999233</v>
      </c>
      <c r="D545" s="306">
        <f t="shared" ca="1" si="240"/>
        <v>-1.0758674807970208</v>
      </c>
      <c r="E545" s="307">
        <f t="shared" ca="1" si="241"/>
        <v>-16.357700331104798</v>
      </c>
      <c r="F545" s="304">
        <f t="shared" ca="1" si="242"/>
        <v>16.393042760831882</v>
      </c>
      <c r="G545" s="306">
        <f t="shared" ca="1" si="243"/>
        <v>20.3683303935921</v>
      </c>
      <c r="H545" s="307">
        <f t="shared" ca="1" si="244"/>
        <v>122.98010677439127</v>
      </c>
      <c r="I545" s="304">
        <f t="shared" ca="1" si="245"/>
        <v>124.655427259559</v>
      </c>
      <c r="J545" s="306">
        <f t="shared" ca="1" si="246"/>
        <v>182.63971700541865</v>
      </c>
      <c r="K545" s="307">
        <f t="shared" ca="1" si="247"/>
        <v>1410.2311899886449</v>
      </c>
      <c r="L545" s="304">
        <f t="shared" ca="1" si="232"/>
        <v>1422.0088872593622</v>
      </c>
      <c r="M545" s="306">
        <f t="shared" ca="1" si="248"/>
        <v>1.4066633106965925</v>
      </c>
      <c r="N545" s="304">
        <f t="shared" ca="1" si="249"/>
        <v>80.595870898814383</v>
      </c>
      <c r="P545" s="310">
        <f t="shared" ca="1" si="250"/>
        <v>23</v>
      </c>
      <c r="Q545" s="304">
        <f t="shared" ca="1" si="251"/>
        <v>0</v>
      </c>
      <c r="R545" s="306">
        <f t="shared" ca="1" si="252"/>
        <v>0</v>
      </c>
      <c r="S545" s="307">
        <f t="shared" ca="1" si="253"/>
        <v>10.637999999999975</v>
      </c>
      <c r="T545" s="304">
        <f t="shared" ca="1" si="233"/>
        <v>104.35877999999975</v>
      </c>
      <c r="U545" s="311">
        <f t="shared" ca="1" si="234"/>
        <v>0</v>
      </c>
      <c r="V545" s="306">
        <f t="shared" ca="1" si="235"/>
        <v>1.0636254503833777</v>
      </c>
      <c r="W545" s="304">
        <f t="shared" ca="1" si="236"/>
        <v>68.690897236683625</v>
      </c>
      <c r="Y545" s="314" t="str">
        <f t="shared" ca="1" si="254"/>
        <v/>
      </c>
      <c r="Z545" s="315" t="str">
        <f t="shared" ca="1" si="255"/>
        <v/>
      </c>
      <c r="AA545" s="316" t="str">
        <f t="shared" ca="1" si="256"/>
        <v/>
      </c>
      <c r="AC545" s="310" t="e">
        <f t="shared" ca="1" si="257"/>
        <v>#N/A</v>
      </c>
      <c r="AD545" s="323" t="e">
        <f t="shared" ca="1" si="258"/>
        <v>#N/A</v>
      </c>
      <c r="AE545" s="324">
        <f t="shared" ca="1" si="237"/>
        <v>1410.2311899886449</v>
      </c>
      <c r="AG545" s="306">
        <f t="shared" ca="1" si="259"/>
        <v>-16.315695600212592</v>
      </c>
      <c r="AH545" s="304">
        <f t="shared" ca="1" si="260"/>
        <v>-6.6355007695114008</v>
      </c>
    </row>
    <row r="546" spans="1:34" x14ac:dyDescent="0.25">
      <c r="A546" s="347">
        <f t="shared" ca="1" si="238"/>
        <v>0.1</v>
      </c>
      <c r="B546" s="304">
        <f t="shared" ca="1" si="239"/>
        <v>9.1999999999999229</v>
      </c>
      <c r="D546" s="306">
        <f t="shared" ca="1" si="240"/>
        <v>-1.0550752673238037</v>
      </c>
      <c r="E546" s="307">
        <f t="shared" ca="1" si="241"/>
        <v>-16.180343887946815</v>
      </c>
      <c r="F546" s="304">
        <f t="shared" ca="1" si="242"/>
        <v>16.214706662531281</v>
      </c>
      <c r="G546" s="306">
        <f t="shared" ca="1" si="243"/>
        <v>20.262822866859718</v>
      </c>
      <c r="H546" s="307">
        <f t="shared" ca="1" si="244"/>
        <v>121.36207238559659</v>
      </c>
      <c r="I546" s="304">
        <f t="shared" ca="1" si="245"/>
        <v>123.04200341452719</v>
      </c>
      <c r="J546" s="306">
        <f t="shared" ca="1" si="246"/>
        <v>184.67127466844124</v>
      </c>
      <c r="K546" s="307">
        <f t="shared" ca="1" si="247"/>
        <v>1422.4482989466444</v>
      </c>
      <c r="L546" s="304">
        <f t="shared" ca="1" si="232"/>
        <v>1434.3858068399413</v>
      </c>
      <c r="M546" s="306">
        <f t="shared" ca="1" si="248"/>
        <v>1.4053605640143716</v>
      </c>
      <c r="N546" s="304">
        <f t="shared" ca="1" si="249"/>
        <v>80.521229012148453</v>
      </c>
      <c r="P546" s="310">
        <f t="shared" ca="1" si="250"/>
        <v>23</v>
      </c>
      <c r="Q546" s="304">
        <f t="shared" ca="1" si="251"/>
        <v>0</v>
      </c>
      <c r="R546" s="306">
        <f t="shared" ca="1" si="252"/>
        <v>0</v>
      </c>
      <c r="S546" s="307">
        <f t="shared" ca="1" si="253"/>
        <v>10.637999999999975</v>
      </c>
      <c r="T546" s="304">
        <f t="shared" ca="1" si="233"/>
        <v>104.35877999999975</v>
      </c>
      <c r="U546" s="311">
        <f t="shared" ca="1" si="234"/>
        <v>0</v>
      </c>
      <c r="V546" s="306">
        <f t="shared" ca="1" si="235"/>
        <v>1.0623202593939443</v>
      </c>
      <c r="W546" s="304">
        <f t="shared" ca="1" si="236"/>
        <v>66.842138664270919</v>
      </c>
      <c r="Y546" s="314" t="str">
        <f t="shared" ca="1" si="254"/>
        <v/>
      </c>
      <c r="Z546" s="315" t="str">
        <f t="shared" ca="1" si="255"/>
        <v/>
      </c>
      <c r="AA546" s="316" t="str">
        <f t="shared" ca="1" si="256"/>
        <v/>
      </c>
      <c r="AC546" s="310" t="e">
        <f t="shared" ca="1" si="257"/>
        <v>#N/A</v>
      </c>
      <c r="AD546" s="323" t="e">
        <f t="shared" ca="1" si="258"/>
        <v>#N/A</v>
      </c>
      <c r="AE546" s="324">
        <f t="shared" ca="1" si="237"/>
        <v>1422.4482989466444</v>
      </c>
      <c r="AG546" s="306">
        <f t="shared" ca="1" si="259"/>
        <v>-16.135282553185345</v>
      </c>
      <c r="AH546" s="304">
        <f t="shared" ca="1" si="260"/>
        <v>-6.4571251397521889</v>
      </c>
    </row>
    <row r="547" spans="1:34" x14ac:dyDescent="0.25">
      <c r="A547" s="347">
        <f t="shared" ca="1" si="238"/>
        <v>0.1</v>
      </c>
      <c r="B547" s="304">
        <f t="shared" ca="1" si="239"/>
        <v>9.2999999999999226</v>
      </c>
      <c r="D547" s="306">
        <f t="shared" ca="1" si="240"/>
        <v>-1.0347535025412509</v>
      </c>
      <c r="E547" s="307">
        <f t="shared" ca="1" si="241"/>
        <v>-16.007548599314337</v>
      </c>
      <c r="F547" s="304">
        <f t="shared" ca="1" si="242"/>
        <v>16.040957794671481</v>
      </c>
      <c r="G547" s="306">
        <f t="shared" ca="1" si="243"/>
        <v>20.159347516605592</v>
      </c>
      <c r="H547" s="307">
        <f t="shared" ca="1" si="244"/>
        <v>119.76131752566516</v>
      </c>
      <c r="I547" s="304">
        <f t="shared" ca="1" si="245"/>
        <v>121.44617107088418</v>
      </c>
      <c r="J547" s="306">
        <f t="shared" ca="1" si="246"/>
        <v>186.6923831876145</v>
      </c>
      <c r="K547" s="307">
        <f t="shared" ca="1" si="247"/>
        <v>1434.5044684422076</v>
      </c>
      <c r="L547" s="304">
        <f t="shared" ca="1" si="232"/>
        <v>1446.6019203363901</v>
      </c>
      <c r="M547" s="306">
        <f t="shared" ca="1" si="248"/>
        <v>1.4040303183180851</v>
      </c>
      <c r="N547" s="304">
        <f t="shared" ca="1" si="249"/>
        <v>80.445011548035794</v>
      </c>
      <c r="P547" s="310">
        <f t="shared" ca="1" si="250"/>
        <v>23</v>
      </c>
      <c r="Q547" s="304">
        <f t="shared" ca="1" si="251"/>
        <v>0</v>
      </c>
      <c r="R547" s="306">
        <f t="shared" ca="1" si="252"/>
        <v>0</v>
      </c>
      <c r="S547" s="307">
        <f t="shared" ca="1" si="253"/>
        <v>10.637999999999975</v>
      </c>
      <c r="T547" s="304">
        <f t="shared" ca="1" si="233"/>
        <v>104.35877999999975</v>
      </c>
      <c r="U547" s="311">
        <f t="shared" ca="1" si="234"/>
        <v>0</v>
      </c>
      <c r="V547" s="306">
        <f t="shared" ca="1" si="235"/>
        <v>1.0610337206368443</v>
      </c>
      <c r="W547" s="304">
        <f t="shared" ca="1" si="236"/>
        <v>65.0406579314689</v>
      </c>
      <c r="Y547" s="314" t="str">
        <f t="shared" ca="1" si="254"/>
        <v/>
      </c>
      <c r="Z547" s="315" t="str">
        <f t="shared" ca="1" si="255"/>
        <v/>
      </c>
      <c r="AA547" s="316" t="str">
        <f t="shared" ca="1" si="256"/>
        <v/>
      </c>
      <c r="AC547" s="310" t="e">
        <f t="shared" ca="1" si="257"/>
        <v>#N/A</v>
      </c>
      <c r="AD547" s="323" t="e">
        <f t="shared" ca="1" si="258"/>
        <v>#N/A</v>
      </c>
      <c r="AE547" s="324">
        <f t="shared" ca="1" si="237"/>
        <v>1434.5044684422076</v>
      </c>
      <c r="AG547" s="306">
        <f t="shared" ca="1" si="259"/>
        <v>-15.959397963825356</v>
      </c>
      <c r="AH547" s="304">
        <f t="shared" ca="1" si="260"/>
        <v>-6.2833369678765818</v>
      </c>
    </row>
    <row r="548" spans="1:34" x14ac:dyDescent="0.25">
      <c r="A548" s="347">
        <f t="shared" ca="1" si="238"/>
        <v>0.1</v>
      </c>
      <c r="B548" s="304">
        <f t="shared" ca="1" si="239"/>
        <v>9.3999999999999222</v>
      </c>
      <c r="D548" s="306">
        <f t="shared" ca="1" si="240"/>
        <v>-1.0148867540860631</v>
      </c>
      <c r="E548" s="307">
        <f t="shared" ca="1" si="241"/>
        <v>-15.839172060681763</v>
      </c>
      <c r="F548" s="304">
        <f t="shared" ca="1" si="242"/>
        <v>15.871652928775287</v>
      </c>
      <c r="G548" s="306">
        <f t="shared" ca="1" si="243"/>
        <v>20.057858841196985</v>
      </c>
      <c r="H548" s="307">
        <f t="shared" ca="1" si="244"/>
        <v>118.17740031959698</v>
      </c>
      <c r="I548" s="304">
        <f t="shared" ca="1" si="245"/>
        <v>119.86749203846581</v>
      </c>
      <c r="J548" s="306">
        <f t="shared" ca="1" si="246"/>
        <v>188.70324350550462</v>
      </c>
      <c r="K548" s="307">
        <f t="shared" ca="1" si="247"/>
        <v>1446.4014043344707</v>
      </c>
      <c r="L548" s="304">
        <f t="shared" ca="1" si="232"/>
        <v>1458.658951424296</v>
      </c>
      <c r="M548" s="306">
        <f t="shared" ca="1" si="248"/>
        <v>1.4026718160536149</v>
      </c>
      <c r="N548" s="304">
        <f t="shared" ca="1" si="249"/>
        <v>80.367175101822681</v>
      </c>
      <c r="P548" s="310">
        <f t="shared" ca="1" si="250"/>
        <v>23</v>
      </c>
      <c r="Q548" s="304">
        <f t="shared" ca="1" si="251"/>
        <v>0</v>
      </c>
      <c r="R548" s="306">
        <f t="shared" ca="1" si="252"/>
        <v>0</v>
      </c>
      <c r="S548" s="307">
        <f t="shared" ca="1" si="253"/>
        <v>10.637999999999975</v>
      </c>
      <c r="T548" s="304">
        <f t="shared" ca="1" si="233"/>
        <v>104.35877999999975</v>
      </c>
      <c r="U548" s="311">
        <f t="shared" ca="1" si="234"/>
        <v>0</v>
      </c>
      <c r="V548" s="306">
        <f t="shared" ca="1" si="235"/>
        <v>1.0597655919606517</v>
      </c>
      <c r="W548" s="304">
        <f t="shared" ca="1" si="236"/>
        <v>63.284993208270642</v>
      </c>
      <c r="Y548" s="314" t="str">
        <f t="shared" ca="1" si="254"/>
        <v/>
      </c>
      <c r="Z548" s="315" t="str">
        <f t="shared" ca="1" si="255"/>
        <v/>
      </c>
      <c r="AA548" s="316" t="str">
        <f t="shared" ca="1" si="256"/>
        <v/>
      </c>
      <c r="AC548" s="310" t="e">
        <f t="shared" ca="1" si="257"/>
        <v>#N/A</v>
      </c>
      <c r="AD548" s="323" t="e">
        <f t="shared" ca="1" si="258"/>
        <v>#N/A</v>
      </c>
      <c r="AE548" s="324">
        <f t="shared" ca="1" si="237"/>
        <v>1446.4014043344707</v>
      </c>
      <c r="AG548" s="306">
        <f t="shared" ca="1" si="259"/>
        <v>-15.78789641831904</v>
      </c>
      <c r="AH548" s="304">
        <f t="shared" ca="1" si="260"/>
        <v>-6.1139930373631373</v>
      </c>
    </row>
    <row r="549" spans="1:34" x14ac:dyDescent="0.25">
      <c r="A549" s="347">
        <f t="shared" ca="1" si="238"/>
        <v>0.1</v>
      </c>
      <c r="B549" s="304">
        <f t="shared" ca="1" si="239"/>
        <v>9.4999999999999218</v>
      </c>
      <c r="D549" s="306">
        <f t="shared" ca="1" si="240"/>
        <v>-0.99546020621802345</v>
      </c>
      <c r="E549" s="307">
        <f t="shared" ca="1" si="241"/>
        <v>-15.675077634848664</v>
      </c>
      <c r="F549" s="304">
        <f t="shared" ca="1" si="242"/>
        <v>15.706654636831372</v>
      </c>
      <c r="G549" s="306">
        <f t="shared" ca="1" si="243"/>
        <v>19.958312820575184</v>
      </c>
      <c r="H549" s="307">
        <f t="shared" ca="1" si="244"/>
        <v>116.60989255611211</v>
      </c>
      <c r="I549" s="304">
        <f t="shared" ca="1" si="245"/>
        <v>118.30554210429851</v>
      </c>
      <c r="J549" s="306">
        <f t="shared" ca="1" si="246"/>
        <v>190.70405208859322</v>
      </c>
      <c r="K549" s="307">
        <f t="shared" ca="1" si="247"/>
        <v>1458.1407689782561</v>
      </c>
      <c r="L549" s="304">
        <f t="shared" ca="1" si="232"/>
        <v>1470.5585801454863</v>
      </c>
      <c r="M549" s="306">
        <f t="shared" ca="1" si="248"/>
        <v>1.4012842706323725</v>
      </c>
      <c r="N549" s="304">
        <f t="shared" ca="1" si="249"/>
        <v>80.287674605302797</v>
      </c>
      <c r="P549" s="310">
        <f t="shared" ca="1" si="250"/>
        <v>23</v>
      </c>
      <c r="Q549" s="304">
        <f t="shared" ca="1" si="251"/>
        <v>0</v>
      </c>
      <c r="R549" s="306">
        <f t="shared" ca="1" si="252"/>
        <v>0</v>
      </c>
      <c r="S549" s="307">
        <f t="shared" ca="1" si="253"/>
        <v>10.637999999999975</v>
      </c>
      <c r="T549" s="304">
        <f t="shared" ca="1" si="233"/>
        <v>104.35877999999975</v>
      </c>
      <c r="U549" s="311">
        <f t="shared" ca="1" si="234"/>
        <v>0</v>
      </c>
      <c r="V549" s="306">
        <f t="shared" ca="1" si="235"/>
        <v>1.0585156376100688</v>
      </c>
      <c r="W549" s="304">
        <f t="shared" ca="1" si="236"/>
        <v>61.573741419034135</v>
      </c>
      <c r="Y549" s="314" t="str">
        <f t="shared" ca="1" si="254"/>
        <v/>
      </c>
      <c r="Z549" s="315" t="str">
        <f t="shared" ca="1" si="255"/>
        <v/>
      </c>
      <c r="AA549" s="316" t="str">
        <f t="shared" ca="1" si="256"/>
        <v/>
      </c>
      <c r="AC549" s="310" t="e">
        <f t="shared" ca="1" si="257"/>
        <v>#N/A</v>
      </c>
      <c r="AD549" s="323" t="e">
        <f t="shared" ca="1" si="258"/>
        <v>#N/A</v>
      </c>
      <c r="AE549" s="324">
        <f t="shared" ca="1" si="237"/>
        <v>1458.1407689782561</v>
      </c>
      <c r="AG549" s="306">
        <f t="shared" ca="1" si="259"/>
        <v>-15.620638199318972</v>
      </c>
      <c r="AH549" s="304">
        <f t="shared" ca="1" si="260"/>
        <v>-5.9489559323435595</v>
      </c>
    </row>
    <row r="550" spans="1:34" x14ac:dyDescent="0.25">
      <c r="A550" s="347">
        <f t="shared" ca="1" si="238"/>
        <v>0.1</v>
      </c>
      <c r="B550" s="304">
        <f t="shared" ca="1" si="239"/>
        <v>9.5999999999999215</v>
      </c>
      <c r="D550" s="306">
        <f t="shared" ca="1" si="240"/>
        <v>-0.97645963022886495</v>
      </c>
      <c r="E550" s="307">
        <f t="shared" ca="1" si="241"/>
        <v>-15.515134175920155</v>
      </c>
      <c r="F550" s="304">
        <f t="shared" ca="1" si="242"/>
        <v>15.545831013692135</v>
      </c>
      <c r="G550" s="306">
        <f t="shared" ca="1" si="243"/>
        <v>19.860666857552296</v>
      </c>
      <c r="H550" s="307">
        <f t="shared" ca="1" si="244"/>
        <v>115.0583791385201</v>
      </c>
      <c r="I550" s="304">
        <f t="shared" ca="1" si="245"/>
        <v>116.75991049161571</v>
      </c>
      <c r="J550" s="306">
        <f t="shared" ca="1" si="246"/>
        <v>192.69500107249959</v>
      </c>
      <c r="K550" s="307">
        <f t="shared" ca="1" si="247"/>
        <v>1469.7241825629878</v>
      </c>
      <c r="L550" s="304">
        <f t="shared" ca="1" si="232"/>
        <v>1482.3024442564929</v>
      </c>
      <c r="M550" s="306">
        <f t="shared" ca="1" si="248"/>
        <v>1.3998668650631951</v>
      </c>
      <c r="N550" s="304">
        <f t="shared" ca="1" si="249"/>
        <v>80.206463248330593</v>
      </c>
      <c r="P550" s="310">
        <f t="shared" ca="1" si="250"/>
        <v>23</v>
      </c>
      <c r="Q550" s="304">
        <f t="shared" ca="1" si="251"/>
        <v>0</v>
      </c>
      <c r="R550" s="306">
        <f t="shared" ca="1" si="252"/>
        <v>0</v>
      </c>
      <c r="S550" s="307">
        <f t="shared" ca="1" si="253"/>
        <v>10.637999999999975</v>
      </c>
      <c r="T550" s="304">
        <f t="shared" ca="1" si="233"/>
        <v>104.35877999999975</v>
      </c>
      <c r="U550" s="311">
        <f t="shared" ca="1" si="234"/>
        <v>0</v>
      </c>
      <c r="V550" s="306">
        <f t="shared" ca="1" si="235"/>
        <v>1.0572836280214635</v>
      </c>
      <c r="W550" s="304">
        <f t="shared" ca="1" si="236"/>
        <v>59.905555454544654</v>
      </c>
      <c r="Y550" s="314" t="str">
        <f t="shared" ca="1" si="254"/>
        <v/>
      </c>
      <c r="Z550" s="315" t="str">
        <f t="shared" ca="1" si="255"/>
        <v/>
      </c>
      <c r="AA550" s="316" t="str">
        <f t="shared" ca="1" si="256"/>
        <v/>
      </c>
      <c r="AC550" s="310" t="e">
        <f t="shared" ca="1" si="257"/>
        <v>#N/A</v>
      </c>
      <c r="AD550" s="323" t="e">
        <f t="shared" ca="1" si="258"/>
        <v>#N/A</v>
      </c>
      <c r="AE550" s="324">
        <f t="shared" ca="1" si="237"/>
        <v>1469.7241825629878</v>
      </c>
      <c r="AG550" s="306">
        <f t="shared" ca="1" si="259"/>
        <v>-15.457489002436503</v>
      </c>
      <c r="AH550" s="304">
        <f t="shared" ca="1" si="260"/>
        <v>-5.7880937600145028</v>
      </c>
    </row>
    <row r="551" spans="1:34" x14ac:dyDescent="0.25">
      <c r="A551" s="347">
        <f t="shared" ca="1" si="238"/>
        <v>0.1</v>
      </c>
      <c r="B551" s="304">
        <f t="shared" ca="1" si="239"/>
        <v>9.6999999999999211</v>
      </c>
      <c r="D551" s="306">
        <f t="shared" ca="1" si="240"/>
        <v>-0.9578713565084197</v>
      </c>
      <c r="E551" s="307">
        <f t="shared" ca="1" si="241"/>
        <v>-15.35921576871247</v>
      </c>
      <c r="F551" s="304">
        <f t="shared" ca="1" si="242"/>
        <v>15.389055414985194</v>
      </c>
      <c r="G551" s="306">
        <f t="shared" ca="1" si="243"/>
        <v>19.764879721901455</v>
      </c>
      <c r="H551" s="307">
        <f t="shared" ca="1" si="244"/>
        <v>113.52245756164885</v>
      </c>
      <c r="I551" s="304">
        <f t="shared" ca="1" si="245"/>
        <v>115.23019934573399</v>
      </c>
      <c r="J551" s="306">
        <f t="shared" ca="1" si="246"/>
        <v>194.67627840147227</v>
      </c>
      <c r="K551" s="307">
        <f t="shared" ca="1" si="247"/>
        <v>1481.1532243979964</v>
      </c>
      <c r="L551" s="304">
        <f t="shared" ca="1" si="232"/>
        <v>1493.8921405231467</v>
      </c>
      <c r="M551" s="306">
        <f t="shared" ca="1" si="248"/>
        <v>1.3984187505063783</v>
      </c>
      <c r="N551" s="304">
        <f t="shared" ca="1" si="249"/>
        <v>80.123492395973528</v>
      </c>
      <c r="P551" s="310">
        <f t="shared" ca="1" si="250"/>
        <v>23</v>
      </c>
      <c r="Q551" s="304">
        <f t="shared" ca="1" si="251"/>
        <v>0</v>
      </c>
      <c r="R551" s="306">
        <f t="shared" ca="1" si="252"/>
        <v>0</v>
      </c>
      <c r="S551" s="307">
        <f t="shared" ca="1" si="253"/>
        <v>10.637999999999975</v>
      </c>
      <c r="T551" s="304">
        <f t="shared" ca="1" si="233"/>
        <v>104.35877999999975</v>
      </c>
      <c r="U551" s="311">
        <f t="shared" ca="1" si="234"/>
        <v>0</v>
      </c>
      <c r="V551" s="306">
        <f t="shared" ca="1" si="235"/>
        <v>1.0560693396268168</v>
      </c>
      <c r="W551" s="304">
        <f t="shared" ca="1" si="236"/>
        <v>58.279141538650407</v>
      </c>
      <c r="Y551" s="314" t="str">
        <f t="shared" ca="1" si="254"/>
        <v/>
      </c>
      <c r="Z551" s="315" t="str">
        <f t="shared" ca="1" si="255"/>
        <v/>
      </c>
      <c r="AA551" s="316" t="str">
        <f t="shared" ca="1" si="256"/>
        <v/>
      </c>
      <c r="AC551" s="310" t="e">
        <f t="shared" ca="1" si="257"/>
        <v>#N/A</v>
      </c>
      <c r="AD551" s="323" t="e">
        <f t="shared" ca="1" si="258"/>
        <v>#N/A</v>
      </c>
      <c r="AE551" s="324">
        <f t="shared" ca="1" si="237"/>
        <v>1481.1532243979964</v>
      </c>
      <c r="AG551" s="306">
        <f t="shared" ca="1" si="259"/>
        <v>-15.298319667854889</v>
      </c>
      <c r="AH551" s="304">
        <f t="shared" ca="1" si="260"/>
        <v>-5.6312798885640909</v>
      </c>
    </row>
    <row r="552" spans="1:34" x14ac:dyDescent="0.25">
      <c r="A552" s="347">
        <f t="shared" ca="1" si="238"/>
        <v>0.1</v>
      </c>
      <c r="B552" s="304">
        <f t="shared" ca="1" si="239"/>
        <v>9.7999999999999208</v>
      </c>
      <c r="D552" s="306">
        <f t="shared" ca="1" si="240"/>
        <v>-0.93968224816330481</v>
      </c>
      <c r="E552" s="307">
        <f t="shared" ca="1" si="241"/>
        <v>-15.207201482604873</v>
      </c>
      <c r="F552" s="304">
        <f t="shared" ca="1" si="242"/>
        <v>15.236206209554039</v>
      </c>
      <c r="G552" s="306">
        <f t="shared" ca="1" si="243"/>
        <v>19.670911497085125</v>
      </c>
      <c r="H552" s="307">
        <f t="shared" ca="1" si="244"/>
        <v>112.00173741338835</v>
      </c>
      <c r="I552" s="304">
        <f t="shared" ca="1" si="245"/>
        <v>113.71602324537977</v>
      </c>
      <c r="J552" s="306">
        <f t="shared" ca="1" si="246"/>
        <v>196.64806796242161</v>
      </c>
      <c r="K552" s="307">
        <f t="shared" ca="1" si="247"/>
        <v>1492.4294341467482</v>
      </c>
      <c r="L552" s="304">
        <f t="shared" ca="1" si="232"/>
        <v>1505.329225963854</v>
      </c>
      <c r="M552" s="306">
        <f t="shared" ca="1" si="248"/>
        <v>1.3969390447446992</v>
      </c>
      <c r="N552" s="304">
        <f t="shared" ca="1" si="249"/>
        <v>80.038711500908121</v>
      </c>
      <c r="P552" s="310">
        <f t="shared" ca="1" si="250"/>
        <v>23</v>
      </c>
      <c r="Q552" s="304">
        <f t="shared" ca="1" si="251"/>
        <v>0</v>
      </c>
      <c r="R552" s="306">
        <f t="shared" ca="1" si="252"/>
        <v>0</v>
      </c>
      <c r="S552" s="307">
        <f t="shared" ca="1" si="253"/>
        <v>10.637999999999975</v>
      </c>
      <c r="T552" s="304">
        <f t="shared" ca="1" si="233"/>
        <v>104.35877999999975</v>
      </c>
      <c r="U552" s="311">
        <f t="shared" ca="1" si="234"/>
        <v>0</v>
      </c>
      <c r="V552" s="306">
        <f t="shared" ca="1" si="235"/>
        <v>1.0548725546656801</v>
      </c>
      <c r="W552" s="304">
        <f t="shared" ca="1" si="236"/>
        <v>56.693256739743994</v>
      </c>
      <c r="Y552" s="314" t="str">
        <f t="shared" ca="1" si="254"/>
        <v/>
      </c>
      <c r="Z552" s="315" t="str">
        <f t="shared" ca="1" si="255"/>
        <v/>
      </c>
      <c r="AA552" s="316" t="str">
        <f t="shared" ca="1" si="256"/>
        <v/>
      </c>
      <c r="AC552" s="310" t="e">
        <f t="shared" ca="1" si="257"/>
        <v>#N/A</v>
      </c>
      <c r="AD552" s="323" t="e">
        <f t="shared" ca="1" si="258"/>
        <v>#N/A</v>
      </c>
      <c r="AE552" s="324">
        <f t="shared" ca="1" si="237"/>
        <v>1492.4294341467482</v>
      </c>
      <c r="AG552" s="306">
        <f t="shared" ca="1" si="259"/>
        <v>-15.143005926048577</v>
      </c>
      <c r="AH552" s="304">
        <f t="shared" ca="1" si="260"/>
        <v>-5.4783926996287411</v>
      </c>
    </row>
    <row r="553" spans="1:34" x14ac:dyDescent="0.25">
      <c r="A553" s="347">
        <f t="shared" ca="1" si="238"/>
        <v>0.1</v>
      </c>
      <c r="B553" s="304">
        <f t="shared" ca="1" si="239"/>
        <v>9.8999999999999204</v>
      </c>
      <c r="D553" s="306">
        <f t="shared" ca="1" si="240"/>
        <v>-0.92187967609082855</v>
      </c>
      <c r="E553" s="307">
        <f t="shared" ca="1" si="241"/>
        <v>-15.058975138928599</v>
      </c>
      <c r="F553" s="304">
        <f t="shared" ca="1" si="242"/>
        <v>15.087166545513407</v>
      </c>
      <c r="G553" s="306">
        <f t="shared" ca="1" si="243"/>
        <v>19.578723529476044</v>
      </c>
      <c r="H553" s="307">
        <f t="shared" ca="1" si="244"/>
        <v>110.49583989949549</v>
      </c>
      <c r="I553" s="304">
        <f t="shared" ca="1" si="245"/>
        <v>112.21700873815253</v>
      </c>
      <c r="J553" s="306">
        <f t="shared" ca="1" si="246"/>
        <v>198.61054971374966</v>
      </c>
      <c r="K553" s="307">
        <f t="shared" ca="1" si="247"/>
        <v>1503.5543130123924</v>
      </c>
      <c r="L553" s="304">
        <f t="shared" ca="1" si="232"/>
        <v>1516.615219043962</v>
      </c>
      <c r="M553" s="306">
        <f t="shared" ca="1" si="248"/>
        <v>1.395426830565885</v>
      </c>
      <c r="N553" s="304">
        <f t="shared" ca="1" si="249"/>
        <v>79.952068010742238</v>
      </c>
      <c r="P553" s="310">
        <f t="shared" ca="1" si="250"/>
        <v>23</v>
      </c>
      <c r="Q553" s="304">
        <f t="shared" ca="1" si="251"/>
        <v>0</v>
      </c>
      <c r="R553" s="306">
        <f t="shared" ca="1" si="252"/>
        <v>0</v>
      </c>
      <c r="S553" s="307">
        <f t="shared" ca="1" si="253"/>
        <v>10.637999999999975</v>
      </c>
      <c r="T553" s="304">
        <f t="shared" ca="1" si="233"/>
        <v>104.35877999999975</v>
      </c>
      <c r="U553" s="311">
        <f t="shared" ca="1" si="234"/>
        <v>0</v>
      </c>
      <c r="V553" s="306">
        <f t="shared" ca="1" si="235"/>
        <v>1.0536930610047455</v>
      </c>
      <c r="W553" s="304">
        <f t="shared" ca="1" si="236"/>
        <v>55.146706618046238</v>
      </c>
      <c r="Y553" s="314" t="str">
        <f t="shared" ca="1" si="254"/>
        <v/>
      </c>
      <c r="Z553" s="315" t="str">
        <f t="shared" ca="1" si="255"/>
        <v/>
      </c>
      <c r="AA553" s="316" t="str">
        <f t="shared" ca="1" si="256"/>
        <v/>
      </c>
      <c r="AC553" s="310" t="e">
        <f t="shared" ca="1" si="257"/>
        <v>#N/A</v>
      </c>
      <c r="AD553" s="323" t="e">
        <f t="shared" ca="1" si="258"/>
        <v>#N/A</v>
      </c>
      <c r="AE553" s="324">
        <f t="shared" ca="1" si="237"/>
        <v>1503.5543130123924</v>
      </c>
      <c r="AG553" s="306">
        <f t="shared" ca="1" si="259"/>
        <v>-14.991428156661573</v>
      </c>
      <c r="AH553" s="304">
        <f t="shared" ca="1" si="260"/>
        <v>-5.3293153543658702</v>
      </c>
    </row>
    <row r="554" spans="1:34" x14ac:dyDescent="0.25">
      <c r="A554" s="347">
        <f t="shared" ca="1" si="238"/>
        <v>0.1</v>
      </c>
      <c r="B554" s="304">
        <f t="shared" ca="1" si="239"/>
        <v>9.9999999999999201</v>
      </c>
      <c r="D554" s="306">
        <f t="shared" ca="1" si="240"/>
        <v>-0.90445149541774983</v>
      </c>
      <c r="E554" s="307">
        <f t="shared" ca="1" si="241"/>
        <v>-14.914425091047468</v>
      </c>
      <c r="F554" s="304">
        <f t="shared" ca="1" si="242"/>
        <v>14.941824129069037</v>
      </c>
      <c r="G554" s="306">
        <f t="shared" ca="1" si="243"/>
        <v>19.488278379934268</v>
      </c>
      <c r="H554" s="307">
        <f t="shared" ca="1" si="244"/>
        <v>109.00439739039075</v>
      </c>
      <c r="I554" s="304">
        <f t="shared" ca="1" si="245"/>
        <v>110.73279389889898</v>
      </c>
      <c r="J554" s="306">
        <f t="shared" ca="1" si="246"/>
        <v>200.56389980922017</v>
      </c>
      <c r="K554" s="307">
        <f t="shared" ca="1" si="247"/>
        <v>1514.5293248768867</v>
      </c>
      <c r="L554" s="304">
        <f t="shared" ca="1" si="232"/>
        <v>1527.751600823485</v>
      </c>
      <c r="M554" s="306">
        <f t="shared" ca="1" si="248"/>
        <v>1.3938811540505704</v>
      </c>
      <c r="N554" s="304">
        <f t="shared" ca="1" si="249"/>
        <v>79.863507269922223</v>
      </c>
      <c r="P554" s="310">
        <f t="shared" ca="1" si="250"/>
        <v>23</v>
      </c>
      <c r="Q554" s="304">
        <f t="shared" ca="1" si="251"/>
        <v>0</v>
      </c>
      <c r="R554" s="306">
        <f t="shared" ca="1" si="252"/>
        <v>0</v>
      </c>
      <c r="S554" s="307">
        <f t="shared" ca="1" si="253"/>
        <v>10.637999999999975</v>
      </c>
      <c r="T554" s="304">
        <f t="shared" ca="1" si="233"/>
        <v>104.35877999999975</v>
      </c>
      <c r="U554" s="311">
        <f t="shared" ca="1" si="234"/>
        <v>0</v>
      </c>
      <c r="V554" s="306">
        <f t="shared" ca="1" si="235"/>
        <v>1.0525306519646762</v>
      </c>
      <c r="W554" s="304">
        <f t="shared" ca="1" si="236"/>
        <v>53.638343000282525</v>
      </c>
      <c r="Y554" s="314" t="str">
        <f t="shared" ca="1" si="254"/>
        <v/>
      </c>
      <c r="Z554" s="315" t="str">
        <f t="shared" ca="1" si="255"/>
        <v/>
      </c>
      <c r="AA554" s="316" t="str">
        <f t="shared" ca="1" si="256"/>
        <v/>
      </c>
      <c r="AC554" s="310">
        <f t="shared" ca="1" si="257"/>
        <v>9.9999999999999201</v>
      </c>
      <c r="AD554" s="323">
        <f t="shared" ca="1" si="258"/>
        <v>200.56389980922017</v>
      </c>
      <c r="AE554" s="324">
        <f t="shared" ca="1" si="237"/>
        <v>1514.5293248768867</v>
      </c>
      <c r="AG554" s="306">
        <f t="shared" ca="1" si="259"/>
        <v>-14.843471159659318</v>
      </c>
      <c r="AH554" s="304">
        <f t="shared" ca="1" si="260"/>
        <v>-5.1839355722923823</v>
      </c>
    </row>
    <row r="555" spans="1:34" x14ac:dyDescent="0.25">
      <c r="A555" s="347">
        <f t="shared" ca="1" si="238"/>
        <v>0.1</v>
      </c>
      <c r="B555" s="304">
        <f t="shared" ca="1" si="239"/>
        <v>10.09999999999992</v>
      </c>
      <c r="D555" s="306">
        <f t="shared" ca="1" si="240"/>
        <v>-0.88738602321982551</v>
      </c>
      <c r="E555" s="307">
        <f t="shared" ca="1" si="241"/>
        <v>-14.773444016344079</v>
      </c>
      <c r="F555" s="304">
        <f t="shared" ca="1" si="242"/>
        <v>14.80007101531133</v>
      </c>
      <c r="G555" s="306">
        <f t="shared" ca="1" si="243"/>
        <v>19.399539777612286</v>
      </c>
      <c r="H555" s="307">
        <f t="shared" ca="1" si="244"/>
        <v>107.52705298875634</v>
      </c>
      <c r="I555" s="304">
        <f t="shared" ca="1" si="245"/>
        <v>109.26302790985602</v>
      </c>
      <c r="J555" s="306">
        <f t="shared" ca="1" si="246"/>
        <v>202.50829071709751</v>
      </c>
      <c r="K555" s="307">
        <f t="shared" ca="1" si="247"/>
        <v>1525.3558973958441</v>
      </c>
      <c r="L555" s="304">
        <f t="shared" ca="1" si="232"/>
        <v>1538.7398160603504</v>
      </c>
      <c r="M555" s="306">
        <f t="shared" ca="1" si="248"/>
        <v>1.3923010227593178</v>
      </c>
      <c r="N555" s="304">
        <f t="shared" ca="1" si="249"/>
        <v>79.772972415856884</v>
      </c>
      <c r="P555" s="310">
        <f t="shared" ca="1" si="250"/>
        <v>23</v>
      </c>
      <c r="Q555" s="304">
        <f t="shared" ca="1" si="251"/>
        <v>0</v>
      </c>
      <c r="R555" s="306">
        <f t="shared" ca="1" si="252"/>
        <v>0</v>
      </c>
      <c r="S555" s="307">
        <f t="shared" ca="1" si="253"/>
        <v>10.637999999999975</v>
      </c>
      <c r="T555" s="304">
        <f t="shared" ca="1" si="233"/>
        <v>104.35877999999975</v>
      </c>
      <c r="U555" s="311">
        <f t="shared" ca="1" si="234"/>
        <v>0</v>
      </c>
      <c r="V555" s="306">
        <f t="shared" ca="1" si="235"/>
        <v>1.0513851261538523</v>
      </c>
      <c r="W555" s="304">
        <f t="shared" ca="1" si="236"/>
        <v>52.16706187392483</v>
      </c>
      <c r="Y555" s="314" t="str">
        <f t="shared" ca="1" si="254"/>
        <v/>
      </c>
      <c r="Z555" s="315" t="str">
        <f t="shared" ca="1" si="255"/>
        <v/>
      </c>
      <c r="AA555" s="316" t="str">
        <f t="shared" ca="1" si="256"/>
        <v/>
      </c>
      <c r="AC555" s="310" t="e">
        <f t="shared" ca="1" si="257"/>
        <v>#N/A</v>
      </c>
      <c r="AD555" s="323" t="e">
        <f t="shared" ca="1" si="258"/>
        <v>#N/A</v>
      </c>
      <c r="AE555" s="324">
        <f t="shared" ca="1" si="237"/>
        <v>1525.3558973958441</v>
      </c>
      <c r="AG555" s="306">
        <f t="shared" ca="1" si="259"/>
        <v>-14.699023937924995</v>
      </c>
      <c r="AH555" s="304">
        <f t="shared" ca="1" si="260"/>
        <v>-5.0421454220983879</v>
      </c>
    </row>
    <row r="556" spans="1:34" x14ac:dyDescent="0.25">
      <c r="A556" s="347">
        <f t="shared" ca="1" si="238"/>
        <v>0.1</v>
      </c>
      <c r="B556" s="304">
        <f t="shared" ca="1" si="239"/>
        <v>10.199999999999919</v>
      </c>
      <c r="D556" s="306">
        <f t="shared" ca="1" si="240"/>
        <v>-0.87067201744402412</v>
      </c>
      <c r="E556" s="307">
        <f t="shared" ca="1" si="241"/>
        <v>-14.635928719379852</v>
      </c>
      <c r="F556" s="304">
        <f t="shared" ca="1" si="242"/>
        <v>14.661803410246913</v>
      </c>
      <c r="G556" s="306">
        <f t="shared" ca="1" si="243"/>
        <v>19.312472575867883</v>
      </c>
      <c r="H556" s="307">
        <f t="shared" ca="1" si="244"/>
        <v>106.06346011681835</v>
      </c>
      <c r="I556" s="304">
        <f t="shared" ca="1" si="245"/>
        <v>107.80737066149776</v>
      </c>
      <c r="J556" s="306">
        <f t="shared" ca="1" si="246"/>
        <v>204.44389133477151</v>
      </c>
      <c r="K556" s="307">
        <f t="shared" ca="1" si="247"/>
        <v>1536.0354230511227</v>
      </c>
      <c r="L556" s="304">
        <f t="shared" ca="1" si="232"/>
        <v>1549.5812742711967</v>
      </c>
      <c r="M556" s="306">
        <f t="shared" ca="1" si="248"/>
        <v>1.3906854038117886</v>
      </c>
      <c r="N556" s="304">
        <f t="shared" ca="1" si="249"/>
        <v>79.680404268862091</v>
      </c>
      <c r="P556" s="310">
        <f t="shared" ca="1" si="250"/>
        <v>23</v>
      </c>
      <c r="Q556" s="304">
        <f t="shared" ca="1" si="251"/>
        <v>0</v>
      </c>
      <c r="R556" s="306">
        <f t="shared" ca="1" si="252"/>
        <v>0</v>
      </c>
      <c r="S556" s="307">
        <f t="shared" ca="1" si="253"/>
        <v>10.637999999999975</v>
      </c>
      <c r="T556" s="304">
        <f t="shared" ca="1" si="233"/>
        <v>104.35877999999975</v>
      </c>
      <c r="U556" s="311">
        <f t="shared" ca="1" si="234"/>
        <v>0</v>
      </c>
      <c r="V556" s="306">
        <f t="shared" ca="1" si="235"/>
        <v>1.0502562873087027</v>
      </c>
      <c r="W556" s="304">
        <f t="shared" ca="1" si="236"/>
        <v>50.731801393710519</v>
      </c>
      <c r="Y556" s="314" t="str">
        <f t="shared" ca="1" si="254"/>
        <v/>
      </c>
      <c r="Z556" s="315" t="str">
        <f t="shared" ca="1" si="255"/>
        <v/>
      </c>
      <c r="AA556" s="316" t="str">
        <f t="shared" ca="1" si="256"/>
        <v/>
      </c>
      <c r="AC556" s="310" t="e">
        <f t="shared" ca="1" si="257"/>
        <v>#N/A</v>
      </c>
      <c r="AD556" s="323" t="e">
        <f t="shared" ca="1" si="258"/>
        <v>#N/A</v>
      </c>
      <c r="AE556" s="324">
        <f t="shared" ca="1" si="237"/>
        <v>1536.0354230511227</v>
      </c>
      <c r="AG556" s="306">
        <f t="shared" ca="1" si="259"/>
        <v>-14.557979490522552</v>
      </c>
      <c r="AH556" s="304">
        <f t="shared" ca="1" si="260"/>
        <v>-4.9038411237004089</v>
      </c>
    </row>
    <row r="557" spans="1:34" x14ac:dyDescent="0.25">
      <c r="A557" s="347">
        <f t="shared" ca="1" si="238"/>
        <v>0.1</v>
      </c>
      <c r="B557" s="304">
        <f t="shared" ca="1" si="239"/>
        <v>10.299999999999919</v>
      </c>
      <c r="D557" s="306">
        <f t="shared" ca="1" si="240"/>
        <v>-0.85429865696062568</v>
      </c>
      <c r="E557" s="307">
        <f t="shared" ca="1" si="241"/>
        <v>-14.501779945547593</v>
      </c>
      <c r="F557" s="304">
        <f t="shared" ca="1" si="242"/>
        <v>14.52692148338288</v>
      </c>
      <c r="G557" s="306">
        <f t="shared" ca="1" si="243"/>
        <v>19.227042710171819</v>
      </c>
      <c r="H557" s="307">
        <f t="shared" ca="1" si="244"/>
        <v>104.61328212226358</v>
      </c>
      <c r="I557" s="304">
        <f t="shared" ca="1" si="245"/>
        <v>106.36549237309572</v>
      </c>
      <c r="J557" s="306">
        <f t="shared" ca="1" si="246"/>
        <v>206.37086709907348</v>
      </c>
      <c r="K557" s="307">
        <f t="shared" ca="1" si="247"/>
        <v>1546.5692601630769</v>
      </c>
      <c r="L557" s="304">
        <f t="shared" ca="1" si="232"/>
        <v>1560.2773507516511</v>
      </c>
      <c r="M557" s="306">
        <f t="shared" ca="1" si="248"/>
        <v>1.3890332218506021</v>
      </c>
      <c r="N557" s="304">
        <f t="shared" ca="1" si="249"/>
        <v>79.585741215498459</v>
      </c>
      <c r="P557" s="310">
        <f t="shared" ca="1" si="250"/>
        <v>23</v>
      </c>
      <c r="Q557" s="304">
        <f t="shared" ca="1" si="251"/>
        <v>0</v>
      </c>
      <c r="R557" s="306">
        <f t="shared" ca="1" si="252"/>
        <v>0</v>
      </c>
      <c r="S557" s="307">
        <f t="shared" ca="1" si="253"/>
        <v>10.637999999999975</v>
      </c>
      <c r="T557" s="304">
        <f t="shared" ca="1" si="233"/>
        <v>104.35877999999975</v>
      </c>
      <c r="U557" s="311">
        <f t="shared" ca="1" si="234"/>
        <v>0</v>
      </c>
      <c r="V557" s="306">
        <f t="shared" ca="1" si="235"/>
        <v>1.0491439441403276</v>
      </c>
      <c r="W557" s="304">
        <f t="shared" ca="1" si="236"/>
        <v>49.331539993648327</v>
      </c>
      <c r="Y557" s="314" t="str">
        <f t="shared" ca="1" si="254"/>
        <v/>
      </c>
      <c r="Z557" s="315" t="str">
        <f t="shared" ca="1" si="255"/>
        <v/>
      </c>
      <c r="AA557" s="316" t="str">
        <f t="shared" ca="1" si="256"/>
        <v/>
      </c>
      <c r="AC557" s="310" t="e">
        <f t="shared" ca="1" si="257"/>
        <v>#N/A</v>
      </c>
      <c r="AD557" s="323" t="e">
        <f t="shared" ca="1" si="258"/>
        <v>#N/A</v>
      </c>
      <c r="AE557" s="324">
        <f t="shared" ca="1" si="237"/>
        <v>1546.5692601630769</v>
      </c>
      <c r="AG557" s="306">
        <f t="shared" ca="1" si="259"/>
        <v>-14.420234615895584</v>
      </c>
      <c r="AH557" s="304">
        <f t="shared" ca="1" si="260"/>
        <v>-4.768922860848904</v>
      </c>
    </row>
    <row r="558" spans="1:34" x14ac:dyDescent="0.25">
      <c r="A558" s="347">
        <f t="shared" ca="1" si="238"/>
        <v>0.1</v>
      </c>
      <c r="B558" s="304">
        <f t="shared" ca="1" si="239"/>
        <v>10.399999999999919</v>
      </c>
      <c r="D558" s="306">
        <f t="shared" ca="1" si="240"/>
        <v>-0.838255522677543</v>
      </c>
      <c r="E558" s="307">
        <f t="shared" ca="1" si="241"/>
        <v>-14.370902204581812</v>
      </c>
      <c r="F558" s="304">
        <f t="shared" ca="1" si="242"/>
        <v>14.395329190225342</v>
      </c>
      <c r="G558" s="306">
        <f t="shared" ca="1" si="243"/>
        <v>19.143217157904065</v>
      </c>
      <c r="H558" s="307">
        <f t="shared" ca="1" si="244"/>
        <v>103.1761919018054</v>
      </c>
      <c r="I558" s="304">
        <f t="shared" ca="1" si="245"/>
        <v>104.93707323207011</v>
      </c>
      <c r="J558" s="306">
        <f t="shared" ca="1" si="246"/>
        <v>208.28938009247727</v>
      </c>
      <c r="K558" s="307">
        <f t="shared" ca="1" si="247"/>
        <v>1556.9587338642805</v>
      </c>
      <c r="L558" s="304">
        <f t="shared" ca="1" si="232"/>
        <v>1570.8293875579143</v>
      </c>
      <c r="M558" s="306">
        <f t="shared" ca="1" si="248"/>
        <v>1.3873433568818383</v>
      </c>
      <c r="N558" s="304">
        <f t="shared" ca="1" si="249"/>
        <v>79.488919084841285</v>
      </c>
      <c r="P558" s="310">
        <f t="shared" ca="1" si="250"/>
        <v>23</v>
      </c>
      <c r="Q558" s="304">
        <f t="shared" ca="1" si="251"/>
        <v>0</v>
      </c>
      <c r="R558" s="306">
        <f t="shared" ca="1" si="252"/>
        <v>0</v>
      </c>
      <c r="S558" s="307">
        <f t="shared" ca="1" si="253"/>
        <v>10.637999999999975</v>
      </c>
      <c r="T558" s="304">
        <f t="shared" ca="1" si="233"/>
        <v>104.35877999999975</v>
      </c>
      <c r="U558" s="311">
        <f t="shared" ca="1" si="234"/>
        <v>0</v>
      </c>
      <c r="V558" s="306">
        <f t="shared" ca="1" si="235"/>
        <v>1.0480479101871114</v>
      </c>
      <c r="W558" s="304">
        <f t="shared" ca="1" si="236"/>
        <v>47.96529459818057</v>
      </c>
      <c r="Y558" s="314" t="str">
        <f t="shared" ca="1" si="254"/>
        <v/>
      </c>
      <c r="Z558" s="315" t="str">
        <f t="shared" ca="1" si="255"/>
        <v/>
      </c>
      <c r="AA558" s="316" t="str">
        <f t="shared" ca="1" si="256"/>
        <v/>
      </c>
      <c r="AC558" s="310" t="e">
        <f t="shared" ca="1" si="257"/>
        <v>#N/A</v>
      </c>
      <c r="AD558" s="323" t="e">
        <f t="shared" ca="1" si="258"/>
        <v>#N/A</v>
      </c>
      <c r="AE558" s="324">
        <f t="shared" ca="1" si="237"/>
        <v>1556.9587338642805</v>
      </c>
      <c r="AG558" s="306">
        <f t="shared" ca="1" si="259"/>
        <v>-14.285689724314024</v>
      </c>
      <c r="AH558" s="304">
        <f t="shared" ca="1" si="260"/>
        <v>-4.6372946036518563</v>
      </c>
    </row>
    <row r="559" spans="1:34" x14ac:dyDescent="0.25">
      <c r="A559" s="347">
        <f t="shared" ca="1" si="238"/>
        <v>0.1</v>
      </c>
      <c r="B559" s="304">
        <f t="shared" ca="1" si="239"/>
        <v>10.499999999999918</v>
      </c>
      <c r="D559" s="306">
        <f t="shared" ca="1" si="240"/>
        <v>-0.82253257965375826</v>
      </c>
      <c r="E559" s="307">
        <f t="shared" ca="1" si="241"/>
        <v>-14.243203603334923</v>
      </c>
      <c r="F559" s="304">
        <f t="shared" ca="1" si="242"/>
        <v>14.266934104096956</v>
      </c>
      <c r="G559" s="306">
        <f t="shared" ca="1" si="243"/>
        <v>19.060963899938688</v>
      </c>
      <c r="H559" s="307">
        <f t="shared" ca="1" si="244"/>
        <v>101.7518715414719</v>
      </c>
      <c r="I559" s="304">
        <f t="shared" ca="1" si="245"/>
        <v>103.52180305127497</v>
      </c>
      <c r="J559" s="306">
        <f t="shared" ca="1" si="246"/>
        <v>210.1995891453694</v>
      </c>
      <c r="K559" s="307">
        <f t="shared" ca="1" si="247"/>
        <v>1567.2051370364443</v>
      </c>
      <c r="L559" s="304">
        <f t="shared" ca="1" si="232"/>
        <v>1581.2386944513792</v>
      </c>
      <c r="M559" s="306">
        <f t="shared" ca="1" si="248"/>
        <v>1.3856146419834972</v>
      </c>
      <c r="N559" s="304">
        <f t="shared" ca="1" si="249"/>
        <v>79.389871017184959</v>
      </c>
      <c r="P559" s="310">
        <f t="shared" ca="1" si="250"/>
        <v>23</v>
      </c>
      <c r="Q559" s="304">
        <f t="shared" ca="1" si="251"/>
        <v>0</v>
      </c>
      <c r="R559" s="306">
        <f t="shared" ca="1" si="252"/>
        <v>0</v>
      </c>
      <c r="S559" s="307">
        <f t="shared" ca="1" si="253"/>
        <v>10.637999999999975</v>
      </c>
      <c r="T559" s="304">
        <f t="shared" ca="1" si="233"/>
        <v>104.35877999999975</v>
      </c>
      <c r="U559" s="311">
        <f t="shared" ca="1" si="234"/>
        <v>0</v>
      </c>
      <c r="V559" s="306">
        <f t="shared" ca="1" si="235"/>
        <v>1.0469680036730575</v>
      </c>
      <c r="W559" s="304">
        <f t="shared" ca="1" si="236"/>
        <v>46.632118926597244</v>
      </c>
      <c r="Y559" s="314" t="str">
        <f t="shared" ca="1" si="254"/>
        <v/>
      </c>
      <c r="Z559" s="315" t="str">
        <f t="shared" ca="1" si="255"/>
        <v/>
      </c>
      <c r="AA559" s="316" t="str">
        <f t="shared" ca="1" si="256"/>
        <v/>
      </c>
      <c r="AC559" s="310" t="e">
        <f t="shared" ca="1" si="257"/>
        <v>#N/A</v>
      </c>
      <c r="AD559" s="323" t="e">
        <f t="shared" ca="1" si="258"/>
        <v>#N/A</v>
      </c>
      <c r="AE559" s="324">
        <f t="shared" ca="1" si="237"/>
        <v>1567.2051370364443</v>
      </c>
      <c r="AG559" s="306">
        <f t="shared" ca="1" si="259"/>
        <v>-14.154248658919187</v>
      </c>
      <c r="AH559" s="304">
        <f t="shared" ca="1" si="260"/>
        <v>-4.5088639404193156</v>
      </c>
    </row>
    <row r="560" spans="1:34" x14ac:dyDescent="0.25">
      <c r="A560" s="347">
        <f t="shared" ca="1" si="238"/>
        <v>0.1</v>
      </c>
      <c r="B560" s="304">
        <f t="shared" ca="1" si="239"/>
        <v>10.599999999999918</v>
      </c>
      <c r="D560" s="306">
        <f t="shared" ca="1" si="240"/>
        <v>-0.80712016015313237</v>
      </c>
      <c r="E560" s="307">
        <f t="shared" ca="1" si="241"/>
        <v>-14.118595687267312</v>
      </c>
      <c r="F560" s="304">
        <f t="shared" ca="1" si="242"/>
        <v>14.141647256718318</v>
      </c>
      <c r="G560" s="306">
        <f t="shared" ca="1" si="243"/>
        <v>18.980251883923376</v>
      </c>
      <c r="H560" s="307">
        <f t="shared" ca="1" si="244"/>
        <v>100.34001197274517</v>
      </c>
      <c r="I560" s="304">
        <f t="shared" ca="1" si="245"/>
        <v>102.1193809434224</v>
      </c>
      <c r="J560" s="306">
        <f t="shared" ca="1" si="246"/>
        <v>212.10164993456252</v>
      </c>
      <c r="K560" s="307">
        <f t="shared" ca="1" si="247"/>
        <v>1577.3097312121552</v>
      </c>
      <c r="L560" s="304">
        <f t="shared" ca="1" si="232"/>
        <v>1591.5065498079248</v>
      </c>
      <c r="M560" s="306">
        <f t="shared" ca="1" si="248"/>
        <v>1.3838458608725306</v>
      </c>
      <c r="N560" s="304">
        <f t="shared" ca="1" si="249"/>
        <v>79.288527324644107</v>
      </c>
      <c r="P560" s="310">
        <f t="shared" ca="1" si="250"/>
        <v>23</v>
      </c>
      <c r="Q560" s="304">
        <f t="shared" ca="1" si="251"/>
        <v>0</v>
      </c>
      <c r="R560" s="306">
        <f t="shared" ca="1" si="252"/>
        <v>0</v>
      </c>
      <c r="S560" s="307">
        <f t="shared" ca="1" si="253"/>
        <v>10.637999999999975</v>
      </c>
      <c r="T560" s="304">
        <f t="shared" ca="1" si="233"/>
        <v>104.35877999999975</v>
      </c>
      <c r="U560" s="311">
        <f t="shared" ca="1" si="234"/>
        <v>0</v>
      </c>
      <c r="V560" s="306">
        <f t="shared" ca="1" si="235"/>
        <v>1.0459040473715866</v>
      </c>
      <c r="W560" s="304">
        <f t="shared" ca="1" si="236"/>
        <v>45.33110188519197</v>
      </c>
      <c r="Y560" s="314" t="str">
        <f t="shared" ca="1" si="254"/>
        <v/>
      </c>
      <c r="Z560" s="315" t="str">
        <f t="shared" ca="1" si="255"/>
        <v/>
      </c>
      <c r="AA560" s="316" t="str">
        <f t="shared" ca="1" si="256"/>
        <v/>
      </c>
      <c r="AC560" s="310" t="e">
        <f t="shared" ca="1" si="257"/>
        <v>#N/A</v>
      </c>
      <c r="AD560" s="323" t="e">
        <f t="shared" ca="1" si="258"/>
        <v>#N/A</v>
      </c>
      <c r="AE560" s="324">
        <f t="shared" ca="1" si="237"/>
        <v>1577.3097312121552</v>
      </c>
      <c r="AG560" s="306">
        <f t="shared" ca="1" si="259"/>
        <v>-14.025818524752903</v>
      </c>
      <c r="AH560" s="304">
        <f t="shared" ca="1" si="260"/>
        <v>-4.3835419182738624</v>
      </c>
    </row>
    <row r="561" spans="1:34" x14ac:dyDescent="0.25">
      <c r="A561" s="347">
        <f t="shared" ca="1" si="238"/>
        <v>0.1</v>
      </c>
      <c r="B561" s="304">
        <f t="shared" ca="1" si="239"/>
        <v>10.699999999999918</v>
      </c>
      <c r="D561" s="306">
        <f t="shared" ca="1" si="240"/>
        <v>-0.79200894758380336</v>
      </c>
      <c r="E561" s="307">
        <f t="shared" ca="1" si="241"/>
        <v>-13.996993290136096</v>
      </c>
      <c r="F561" s="304">
        <f t="shared" ca="1" si="242"/>
        <v>14.019382987035048</v>
      </c>
      <c r="G561" s="306">
        <f t="shared" ca="1" si="243"/>
        <v>18.901050989164997</v>
      </c>
      <c r="H561" s="307">
        <f t="shared" ca="1" si="244"/>
        <v>98.940312643731559</v>
      </c>
      <c r="I561" s="304">
        <f t="shared" ca="1" si="245"/>
        <v>100.72951501190882</v>
      </c>
      <c r="J561" s="306">
        <f t="shared" ca="1" si="246"/>
        <v>213.99571507821693</v>
      </c>
      <c r="K561" s="307">
        <f t="shared" ca="1" si="247"/>
        <v>1587.2737474429789</v>
      </c>
      <c r="L561" s="304">
        <f t="shared" ca="1" si="232"/>
        <v>1601.6342014934355</v>
      </c>
      <c r="M561" s="306">
        <f t="shared" ca="1" si="248"/>
        <v>1.3820357453203034</v>
      </c>
      <c r="N561" s="304">
        <f t="shared" ca="1" si="249"/>
        <v>79.184815343070497</v>
      </c>
      <c r="P561" s="310">
        <f t="shared" ca="1" si="250"/>
        <v>23</v>
      </c>
      <c r="Q561" s="304">
        <f t="shared" ca="1" si="251"/>
        <v>0</v>
      </c>
      <c r="R561" s="306">
        <f t="shared" ca="1" si="252"/>
        <v>0</v>
      </c>
      <c r="S561" s="307">
        <f t="shared" ca="1" si="253"/>
        <v>10.637999999999975</v>
      </c>
      <c r="T561" s="304">
        <f t="shared" ca="1" si="233"/>
        <v>104.35877999999975</v>
      </c>
      <c r="U561" s="311">
        <f t="shared" ca="1" si="234"/>
        <v>0</v>
      </c>
      <c r="V561" s="306">
        <f t="shared" ca="1" si="235"/>
        <v>1.0448558684745484</v>
      </c>
      <c r="W561" s="304">
        <f t="shared" ca="1" si="236"/>
        <v>44.061366042013958</v>
      </c>
      <c r="Y561" s="314" t="str">
        <f t="shared" ca="1" si="254"/>
        <v/>
      </c>
      <c r="Z561" s="315" t="str">
        <f t="shared" ca="1" si="255"/>
        <v/>
      </c>
      <c r="AA561" s="316" t="str">
        <f t="shared" ca="1" si="256"/>
        <v/>
      </c>
      <c r="AC561" s="310" t="e">
        <f t="shared" ca="1" si="257"/>
        <v>#N/A</v>
      </c>
      <c r="AD561" s="323" t="e">
        <f t="shared" ca="1" si="258"/>
        <v>#N/A</v>
      </c>
      <c r="AE561" s="324">
        <f t="shared" ca="1" si="237"/>
        <v>1587.2737474429789</v>
      </c>
      <c r="AG561" s="306">
        <f t="shared" ca="1" si="259"/>
        <v>-13.900309525187952</v>
      </c>
      <c r="AH561" s="304">
        <f t="shared" ca="1" si="260"/>
        <v>-4.2612428920090313</v>
      </c>
    </row>
    <row r="562" spans="1:34" x14ac:dyDescent="0.25">
      <c r="A562" s="347">
        <f t="shared" ca="1" si="238"/>
        <v>0.1</v>
      </c>
      <c r="B562" s="304">
        <f t="shared" ca="1" si="239"/>
        <v>10.799999999999917</v>
      </c>
      <c r="D562" s="306">
        <f t="shared" ca="1" si="240"/>
        <v>-0.7771899612721046</v>
      </c>
      <c r="E562" s="307">
        <f t="shared" ca="1" si="241"/>
        <v>-13.8783143914014</v>
      </c>
      <c r="F562" s="304">
        <f t="shared" ca="1" si="242"/>
        <v>13.900058797806624</v>
      </c>
      <c r="G562" s="306">
        <f t="shared" ca="1" si="243"/>
        <v>18.823331993037787</v>
      </c>
      <c r="H562" s="307">
        <f t="shared" ca="1" si="244"/>
        <v>97.552481204591416</v>
      </c>
      <c r="I562" s="304">
        <f t="shared" ca="1" si="245"/>
        <v>99.351922057362742</v>
      </c>
      <c r="J562" s="306">
        <f t="shared" ca="1" si="246"/>
        <v>215.88193422732706</v>
      </c>
      <c r="K562" s="307">
        <f t="shared" ca="1" si="247"/>
        <v>1597.0983871353951</v>
      </c>
      <c r="L562" s="304">
        <f t="shared" ca="1" si="232"/>
        <v>1611.6228677070242</v>
      </c>
      <c r="M562" s="306">
        <f t="shared" ca="1" si="248"/>
        <v>1.380182972405515</v>
      </c>
      <c r="N562" s="304">
        <f t="shared" ca="1" si="249"/>
        <v>79.078659274656971</v>
      </c>
      <c r="P562" s="310">
        <f t="shared" ca="1" si="250"/>
        <v>23</v>
      </c>
      <c r="Q562" s="304">
        <f t="shared" ca="1" si="251"/>
        <v>0</v>
      </c>
      <c r="R562" s="306">
        <f t="shared" ca="1" si="252"/>
        <v>0</v>
      </c>
      <c r="S562" s="307">
        <f t="shared" ca="1" si="253"/>
        <v>10.637999999999975</v>
      </c>
      <c r="T562" s="304">
        <f t="shared" ca="1" si="233"/>
        <v>104.35877999999975</v>
      </c>
      <c r="U562" s="311">
        <f t="shared" ca="1" si="234"/>
        <v>0</v>
      </c>
      <c r="V562" s="306">
        <f t="shared" ca="1" si="235"/>
        <v>1.0438232984662197</v>
      </c>
      <c r="W562" s="304">
        <f t="shared" ca="1" si="236"/>
        <v>42.822066179409703</v>
      </c>
      <c r="Y562" s="314" t="str">
        <f t="shared" ca="1" si="254"/>
        <v/>
      </c>
      <c r="Z562" s="315" t="str">
        <f t="shared" ca="1" si="255"/>
        <v/>
      </c>
      <c r="AA562" s="316" t="str">
        <f t="shared" ca="1" si="256"/>
        <v/>
      </c>
      <c r="AC562" s="310" t="e">
        <f t="shared" ca="1" si="257"/>
        <v>#N/A</v>
      </c>
      <c r="AD562" s="323" t="e">
        <f t="shared" ca="1" si="258"/>
        <v>#N/A</v>
      </c>
      <c r="AE562" s="324">
        <f t="shared" ca="1" si="237"/>
        <v>1597.0983871353951</v>
      </c>
      <c r="AG562" s="306">
        <f t="shared" ca="1" si="259"/>
        <v>-13.777634805205301</v>
      </c>
      <c r="AH562" s="304">
        <f t="shared" ca="1" si="260"/>
        <v>-4.1418843807119821</v>
      </c>
    </row>
    <row r="563" spans="1:34" x14ac:dyDescent="0.25">
      <c r="A563" s="347">
        <f t="shared" ca="1" si="238"/>
        <v>0.1</v>
      </c>
      <c r="B563" s="304">
        <f t="shared" ca="1" si="239"/>
        <v>10.899999999999917</v>
      </c>
      <c r="D563" s="306">
        <f t="shared" ca="1" si="240"/>
        <v>-0.76265454202336092</v>
      </c>
      <c r="E563" s="307">
        <f t="shared" ca="1" si="241"/>
        <v>-13.762479980900736</v>
      </c>
      <c r="F563" s="304">
        <f t="shared" ca="1" si="242"/>
        <v>13.783595219505045</v>
      </c>
      <c r="G563" s="306">
        <f t="shared" ca="1" si="243"/>
        <v>18.747066538835451</v>
      </c>
      <c r="H563" s="307">
        <f t="shared" ca="1" si="244"/>
        <v>96.176233206501337</v>
      </c>
      <c r="I563" s="304">
        <f t="shared" ca="1" si="245"/>
        <v>97.986327299286273</v>
      </c>
      <c r="J563" s="306">
        <f t="shared" ca="1" si="246"/>
        <v>217.76045415392073</v>
      </c>
      <c r="K563" s="307">
        <f t="shared" ca="1" si="247"/>
        <v>1606.7848228559496</v>
      </c>
      <c r="L563" s="304">
        <f t="shared" ca="1" si="232"/>
        <v>1621.4737377933529</v>
      </c>
      <c r="M563" s="306">
        <f t="shared" ca="1" si="248"/>
        <v>1.3782861615927013</v>
      </c>
      <c r="N563" s="304">
        <f t="shared" ca="1" si="249"/>
        <v>78.969980020547965</v>
      </c>
      <c r="P563" s="310">
        <f t="shared" ca="1" si="250"/>
        <v>23</v>
      </c>
      <c r="Q563" s="304">
        <f t="shared" ca="1" si="251"/>
        <v>0</v>
      </c>
      <c r="R563" s="306">
        <f t="shared" ca="1" si="252"/>
        <v>0</v>
      </c>
      <c r="S563" s="307">
        <f t="shared" ca="1" si="253"/>
        <v>10.637999999999975</v>
      </c>
      <c r="T563" s="304">
        <f t="shared" ca="1" si="233"/>
        <v>104.35877999999975</v>
      </c>
      <c r="U563" s="311">
        <f t="shared" ca="1" si="234"/>
        <v>0</v>
      </c>
      <c r="V563" s="306">
        <f t="shared" ca="1" si="235"/>
        <v>1.0428061730020628</v>
      </c>
      <c r="W563" s="304">
        <f t="shared" ca="1" si="236"/>
        <v>41.612387919860694</v>
      </c>
      <c r="Y563" s="314" t="str">
        <f t="shared" ca="1" si="254"/>
        <v/>
      </c>
      <c r="Z563" s="315" t="str">
        <f t="shared" ca="1" si="255"/>
        <v/>
      </c>
      <c r="AA563" s="316" t="str">
        <f t="shared" ca="1" si="256"/>
        <v/>
      </c>
      <c r="AC563" s="310" t="e">
        <f t="shared" ca="1" si="257"/>
        <v>#N/A</v>
      </c>
      <c r="AD563" s="323" t="e">
        <f t="shared" ca="1" si="258"/>
        <v>#N/A</v>
      </c>
      <c r="AE563" s="324">
        <f t="shared" ca="1" si="237"/>
        <v>1606.7848228559496</v>
      </c>
      <c r="AG563" s="306">
        <f t="shared" ca="1" si="259"/>
        <v>-13.657710300988892</v>
      </c>
      <c r="AH563" s="304">
        <f t="shared" ca="1" si="260"/>
        <v>-4.0253869316986091</v>
      </c>
    </row>
    <row r="564" spans="1:34" x14ac:dyDescent="0.25">
      <c r="A564" s="347">
        <f t="shared" ca="1" si="238"/>
        <v>0.1</v>
      </c>
      <c r="B564" s="304">
        <f t="shared" ca="1" si="239"/>
        <v>10.999999999999917</v>
      </c>
      <c r="D564" s="306">
        <f t="shared" ca="1" si="240"/>
        <v>-0.74839433842513503</v>
      </c>
      <c r="E564" s="307">
        <f t="shared" ca="1" si="241"/>
        <v>-13.649413930371226</v>
      </c>
      <c r="F564" s="304">
        <f t="shared" ca="1" si="242"/>
        <v>13.669915681100557</v>
      </c>
      <c r="G564" s="306">
        <f t="shared" ca="1" si="243"/>
        <v>18.672227104992938</v>
      </c>
      <c r="H564" s="307">
        <f t="shared" ca="1" si="244"/>
        <v>94.811291813464209</v>
      </c>
      <c r="I564" s="304">
        <f t="shared" ca="1" si="245"/>
        <v>96.632464112213853</v>
      </c>
      <c r="J564" s="306">
        <f t="shared" ca="1" si="246"/>
        <v>219.63141883611215</v>
      </c>
      <c r="K564" s="307">
        <f t="shared" ca="1" si="247"/>
        <v>1616.3341991069478</v>
      </c>
      <c r="L564" s="304">
        <f t="shared" ca="1" si="232"/>
        <v>1631.1879730253845</v>
      </c>
      <c r="M564" s="306">
        <f t="shared" ca="1" si="248"/>
        <v>1.3763438716234606</v>
      </c>
      <c r="N564" s="304">
        <f t="shared" ca="1" si="249"/>
        <v>78.858695002719884</v>
      </c>
      <c r="P564" s="310">
        <f t="shared" ca="1" si="250"/>
        <v>23</v>
      </c>
      <c r="Q564" s="304">
        <f t="shared" ca="1" si="251"/>
        <v>0</v>
      </c>
      <c r="R564" s="306">
        <f t="shared" ca="1" si="252"/>
        <v>0</v>
      </c>
      <c r="S564" s="307">
        <f t="shared" ca="1" si="253"/>
        <v>10.637999999999975</v>
      </c>
      <c r="T564" s="304">
        <f t="shared" ca="1" si="233"/>
        <v>104.35877999999975</v>
      </c>
      <c r="U564" s="311">
        <f t="shared" ca="1" si="234"/>
        <v>0</v>
      </c>
      <c r="V564" s="306">
        <f t="shared" ca="1" si="235"/>
        <v>1.041804331792038</v>
      </c>
      <c r="W564" s="304">
        <f t="shared" ca="1" si="236"/>
        <v>40.431546420915453</v>
      </c>
      <c r="Y564" s="314" t="str">
        <f t="shared" ca="1" si="254"/>
        <v/>
      </c>
      <c r="Z564" s="315" t="str">
        <f t="shared" ca="1" si="255"/>
        <v/>
      </c>
      <c r="AA564" s="316" t="str">
        <f t="shared" ca="1" si="256"/>
        <v/>
      </c>
      <c r="AC564" s="310">
        <f t="shared" ca="1" si="257"/>
        <v>10.999999999999917</v>
      </c>
      <c r="AD564" s="323">
        <f t="shared" ca="1" si="258"/>
        <v>219.63141883611215</v>
      </c>
      <c r="AE564" s="324">
        <f t="shared" ca="1" si="237"/>
        <v>1616.3341991069478</v>
      </c>
      <c r="AG564" s="306">
        <f t="shared" ca="1" si="259"/>
        <v>-13.540454595330658</v>
      </c>
      <c r="AH564" s="304">
        <f t="shared" ca="1" si="260"/>
        <v>-3.911673991338672</v>
      </c>
    </row>
    <row r="565" spans="1:34" x14ac:dyDescent="0.25">
      <c r="A565" s="347">
        <f t="shared" ca="1" si="238"/>
        <v>0.1</v>
      </c>
      <c r="B565" s="304">
        <f t="shared" ca="1" si="239"/>
        <v>11.099999999999916</v>
      </c>
      <c r="D565" s="306">
        <f t="shared" ca="1" si="240"/>
        <v>-0.73440129385143671</v>
      </c>
      <c r="E565" s="307">
        <f t="shared" ca="1" si="241"/>
        <v>-13.539042871426695</v>
      </c>
      <c r="F565" s="304">
        <f t="shared" ca="1" si="242"/>
        <v>13.558946387339271</v>
      </c>
      <c r="G565" s="306">
        <f t="shared" ca="1" si="243"/>
        <v>18.598786975607794</v>
      </c>
      <c r="H565" s="307">
        <f t="shared" ca="1" si="244"/>
        <v>93.45738752632154</v>
      </c>
      <c r="I565" s="304">
        <f t="shared" ca="1" si="245"/>
        <v>95.290073775861245</v>
      </c>
      <c r="J565" s="306">
        <f t="shared" ca="1" si="246"/>
        <v>221.49496954014219</v>
      </c>
      <c r="K565" s="307">
        <f t="shared" ca="1" si="247"/>
        <v>1625.7476330739371</v>
      </c>
      <c r="L565" s="304">
        <f t="shared" ca="1" si="232"/>
        <v>1640.7667073588179</v>
      </c>
      <c r="M565" s="306">
        <f t="shared" ca="1" si="248"/>
        <v>1.3743545972064599</v>
      </c>
      <c r="N565" s="304">
        <f t="shared" ca="1" si="249"/>
        <v>78.744717974332389</v>
      </c>
      <c r="P565" s="310">
        <f t="shared" ca="1" si="250"/>
        <v>23</v>
      </c>
      <c r="Q565" s="304">
        <f t="shared" ca="1" si="251"/>
        <v>0</v>
      </c>
      <c r="R565" s="306">
        <f t="shared" ca="1" si="252"/>
        <v>0</v>
      </c>
      <c r="S565" s="307">
        <f t="shared" ca="1" si="253"/>
        <v>10.637999999999975</v>
      </c>
      <c r="T565" s="304">
        <f t="shared" ca="1" si="233"/>
        <v>104.35877999999975</v>
      </c>
      <c r="U565" s="311">
        <f t="shared" ca="1" si="234"/>
        <v>0</v>
      </c>
      <c r="V565" s="306">
        <f t="shared" ca="1" si="235"/>
        <v>1.0408176184882734</v>
      </c>
      <c r="W565" s="304">
        <f t="shared" ca="1" si="236"/>
        <v>39.278785135284345</v>
      </c>
      <c r="Y565" s="314" t="str">
        <f t="shared" ca="1" si="254"/>
        <v/>
      </c>
      <c r="Z565" s="315" t="str">
        <f t="shared" ca="1" si="255"/>
        <v/>
      </c>
      <c r="AA565" s="316" t="str">
        <f t="shared" ca="1" si="256"/>
        <v/>
      </c>
      <c r="AC565" s="310" t="e">
        <f t="shared" ca="1" si="257"/>
        <v>#N/A</v>
      </c>
      <c r="AD565" s="323" t="e">
        <f t="shared" ca="1" si="258"/>
        <v>#N/A</v>
      </c>
      <c r="AE565" s="324">
        <f t="shared" ca="1" si="237"/>
        <v>1625.7476330739371</v>
      </c>
      <c r="AG565" s="306">
        <f t="shared" ca="1" si="259"/>
        <v>-13.425788778357902</v>
      </c>
      <c r="AH565" s="304">
        <f t="shared" ca="1" si="260"/>
        <v>-3.8006717823759679</v>
      </c>
    </row>
    <row r="566" spans="1:34" x14ac:dyDescent="0.25">
      <c r="A566" s="347">
        <f t="shared" ca="1" si="238"/>
        <v>0.1</v>
      </c>
      <c r="B566" s="304">
        <f t="shared" ca="1" si="239"/>
        <v>11.199999999999916</v>
      </c>
      <c r="D566" s="306">
        <f t="shared" ca="1" si="240"/>
        <v>-0.72066763412921464</v>
      </c>
      <c r="E566" s="307">
        <f t="shared" ca="1" si="241"/>
        <v>-13.431296079621898</v>
      </c>
      <c r="F566" s="304">
        <f t="shared" ca="1" si="242"/>
        <v>13.450616202142857</v>
      </c>
      <c r="G566" s="306">
        <f t="shared" ca="1" si="243"/>
        <v>18.526720212194874</v>
      </c>
      <c r="H566" s="307">
        <f t="shared" ca="1" si="244"/>
        <v>92.114257918359357</v>
      </c>
      <c r="I566" s="304">
        <f t="shared" ca="1" si="245"/>
        <v>93.958905238785007</v>
      </c>
      <c r="J566" s="306">
        <f t="shared" ca="1" si="246"/>
        <v>223.35124489953233</v>
      </c>
      <c r="K566" s="307">
        <f t="shared" ca="1" si="247"/>
        <v>1635.0262153461711</v>
      </c>
      <c r="L566" s="304">
        <f t="shared" ca="1" si="232"/>
        <v>1650.2110481594148</v>
      </c>
      <c r="M566" s="306">
        <f t="shared" ca="1" si="248"/>
        <v>1.3723167654911008</v>
      </c>
      <c r="N566" s="304">
        <f t="shared" ca="1" si="249"/>
        <v>78.627958817684416</v>
      </c>
      <c r="P566" s="310">
        <f t="shared" ca="1" si="250"/>
        <v>23</v>
      </c>
      <c r="Q566" s="304">
        <f t="shared" ca="1" si="251"/>
        <v>0</v>
      </c>
      <c r="R566" s="306">
        <f t="shared" ca="1" si="252"/>
        <v>0</v>
      </c>
      <c r="S566" s="307">
        <f t="shared" ca="1" si="253"/>
        <v>10.637999999999975</v>
      </c>
      <c r="T566" s="304">
        <f t="shared" ca="1" si="233"/>
        <v>104.35877999999975</v>
      </c>
      <c r="U566" s="311">
        <f t="shared" ca="1" si="234"/>
        <v>0</v>
      </c>
      <c r="V566" s="306">
        <f t="shared" ca="1" si="235"/>
        <v>1.0398458805768995</v>
      </c>
      <c r="W566" s="304">
        <f t="shared" ca="1" si="236"/>
        <v>38.153374632416444</v>
      </c>
      <c r="Y566" s="314" t="str">
        <f t="shared" ca="1" si="254"/>
        <v/>
      </c>
      <c r="Z566" s="315" t="str">
        <f t="shared" ca="1" si="255"/>
        <v/>
      </c>
      <c r="AA566" s="316" t="str">
        <f t="shared" ca="1" si="256"/>
        <v/>
      </c>
      <c r="AC566" s="310" t="e">
        <f t="shared" ca="1" si="257"/>
        <v>#N/A</v>
      </c>
      <c r="AD566" s="323" t="e">
        <f t="shared" ca="1" si="258"/>
        <v>#N/A</v>
      </c>
      <c r="AE566" s="324">
        <f t="shared" ca="1" si="237"/>
        <v>1635.0262153461711</v>
      </c>
      <c r="AG566" s="306">
        <f t="shared" ca="1" si="259"/>
        <v>-13.313636313111409</v>
      </c>
      <c r="AH566" s="304">
        <f t="shared" ca="1" si="260"/>
        <v>-3.6923091873739837</v>
      </c>
    </row>
    <row r="567" spans="1:34" x14ac:dyDescent="0.25">
      <c r="A567" s="347">
        <f t="shared" ca="1" si="238"/>
        <v>0.1</v>
      </c>
      <c r="B567" s="304">
        <f t="shared" ca="1" si="239"/>
        <v>11.299999999999915</v>
      </c>
      <c r="D567" s="306">
        <f t="shared" ca="1" si="240"/>
        <v>-0.70718585583101301</v>
      </c>
      <c r="E567" s="307">
        <f t="shared" ca="1" si="241"/>
        <v>-13.32610536425952</v>
      </c>
      <c r="F567" s="304">
        <f t="shared" ca="1" si="242"/>
        <v>13.344856537783903</v>
      </c>
      <c r="G567" s="306">
        <f t="shared" ca="1" si="243"/>
        <v>18.456001626611773</v>
      </c>
      <c r="H567" s="307">
        <f t="shared" ca="1" si="244"/>
        <v>90.781647381933411</v>
      </c>
      <c r="I567" s="304">
        <f t="shared" ca="1" si="245"/>
        <v>92.638714895119278</v>
      </c>
      <c r="J567" s="306">
        <f t="shared" ca="1" si="246"/>
        <v>225.20038099147266</v>
      </c>
      <c r="K567" s="307">
        <f t="shared" ca="1" si="247"/>
        <v>1644.1710106111857</v>
      </c>
      <c r="L567" s="304">
        <f t="shared" ca="1" si="232"/>
        <v>1659.5220769043453</v>
      </c>
      <c r="M567" s="306">
        <f t="shared" ca="1" si="248"/>
        <v>1.3702287323084372</v>
      </c>
      <c r="N567" s="304">
        <f t="shared" ca="1" si="249"/>
        <v>78.508323328834521</v>
      </c>
      <c r="P567" s="310">
        <f t="shared" ca="1" si="250"/>
        <v>23</v>
      </c>
      <c r="Q567" s="304">
        <f t="shared" ca="1" si="251"/>
        <v>0</v>
      </c>
      <c r="R567" s="306">
        <f t="shared" ca="1" si="252"/>
        <v>0</v>
      </c>
      <c r="S567" s="307">
        <f t="shared" ca="1" si="253"/>
        <v>10.637999999999975</v>
      </c>
      <c r="T567" s="304">
        <f t="shared" ca="1" si="233"/>
        <v>104.35877999999975</v>
      </c>
      <c r="U567" s="311">
        <f t="shared" ca="1" si="234"/>
        <v>0</v>
      </c>
      <c r="V567" s="306">
        <f t="shared" ca="1" si="235"/>
        <v>1.0388889692738732</v>
      </c>
      <c r="W567" s="304">
        <f t="shared" ca="1" si="236"/>
        <v>37.054611478111347</v>
      </c>
      <c r="Y567" s="314" t="str">
        <f t="shared" ca="1" si="254"/>
        <v/>
      </c>
      <c r="Z567" s="315" t="str">
        <f t="shared" ca="1" si="255"/>
        <v/>
      </c>
      <c r="AA567" s="316" t="str">
        <f t="shared" ca="1" si="256"/>
        <v/>
      </c>
      <c r="AC567" s="310" t="e">
        <f t="shared" ca="1" si="257"/>
        <v>#N/A</v>
      </c>
      <c r="AD567" s="323" t="e">
        <f t="shared" ca="1" si="258"/>
        <v>#N/A</v>
      </c>
      <c r="AE567" s="324">
        <f t="shared" ca="1" si="237"/>
        <v>1644.1710106111857</v>
      </c>
      <c r="AG567" s="306">
        <f t="shared" ca="1" si="259"/>
        <v>-13.203922905516379</v>
      </c>
      <c r="AH567" s="304">
        <f t="shared" ca="1" si="260"/>
        <v>-3.5865176379410166</v>
      </c>
    </row>
    <row r="568" spans="1:34" x14ac:dyDescent="0.25">
      <c r="A568" s="347">
        <f t="shared" ca="1" si="238"/>
        <v>0.1</v>
      </c>
      <c r="B568" s="304">
        <f t="shared" ca="1" si="239"/>
        <v>11.399999999999915</v>
      </c>
      <c r="D568" s="306">
        <f t="shared" ca="1" si="240"/>
        <v>-0.69394871516008194</v>
      </c>
      <c r="E568" s="307">
        <f t="shared" ca="1" si="241"/>
        <v>-13.223404963617448</v>
      </c>
      <c r="F568" s="304">
        <f t="shared" ca="1" si="242"/>
        <v>13.241601249512646</v>
      </c>
      <c r="G568" s="306">
        <f t="shared" ca="1" si="243"/>
        <v>18.386606755095766</v>
      </c>
      <c r="H568" s="307">
        <f t="shared" ca="1" si="244"/>
        <v>89.459306885571664</v>
      </c>
      <c r="I568" s="304">
        <f t="shared" ca="1" si="245"/>
        <v>91.32926637400206</v>
      </c>
      <c r="J568" s="306">
        <f t="shared" ca="1" si="246"/>
        <v>227.04251141055803</v>
      </c>
      <c r="K568" s="307">
        <f t="shared" ca="1" si="247"/>
        <v>1653.183058324561</v>
      </c>
      <c r="L568" s="304">
        <f t="shared" ca="1" si="232"/>
        <v>1668.7008498586445</v>
      </c>
      <c r="M568" s="306">
        <f t="shared" ca="1" si="248"/>
        <v>1.368088778161519</v>
      </c>
      <c r="N568" s="304">
        <f t="shared" ca="1" si="249"/>
        <v>78.385712987864579</v>
      </c>
      <c r="P568" s="310">
        <f t="shared" ca="1" si="250"/>
        <v>23</v>
      </c>
      <c r="Q568" s="304">
        <f t="shared" ca="1" si="251"/>
        <v>0</v>
      </c>
      <c r="R568" s="306">
        <f t="shared" ca="1" si="252"/>
        <v>0</v>
      </c>
      <c r="S568" s="307">
        <f t="shared" ca="1" si="253"/>
        <v>10.637999999999975</v>
      </c>
      <c r="T568" s="304">
        <f t="shared" ca="1" si="233"/>
        <v>104.35877999999975</v>
      </c>
      <c r="U568" s="311">
        <f t="shared" ca="1" si="234"/>
        <v>0</v>
      </c>
      <c r="V568" s="306">
        <f t="shared" ca="1" si="235"/>
        <v>1.0379467394246207</v>
      </c>
      <c r="W568" s="304">
        <f t="shared" ca="1" si="236"/>
        <v>35.981817168936132</v>
      </c>
      <c r="Y568" s="314" t="str">
        <f t="shared" ca="1" si="254"/>
        <v/>
      </c>
      <c r="Z568" s="315" t="str">
        <f t="shared" ca="1" si="255"/>
        <v/>
      </c>
      <c r="AA568" s="316" t="str">
        <f t="shared" ca="1" si="256"/>
        <v/>
      </c>
      <c r="AC568" s="310" t="e">
        <f t="shared" ca="1" si="257"/>
        <v>#N/A</v>
      </c>
      <c r="AD568" s="323" t="e">
        <f t="shared" ca="1" si="258"/>
        <v>#N/A</v>
      </c>
      <c r="AE568" s="324">
        <f t="shared" ca="1" si="237"/>
        <v>1653.183058324561</v>
      </c>
      <c r="AG568" s="306">
        <f t="shared" ca="1" si="259"/>
        <v>-13.096576378299128</v>
      </c>
      <c r="AH568" s="304">
        <f t="shared" ca="1" si="260"/>
        <v>-3.4832310094107384</v>
      </c>
    </row>
    <row r="569" spans="1:34" x14ac:dyDescent="0.25">
      <c r="A569" s="347">
        <f t="shared" ca="1" si="238"/>
        <v>0.1</v>
      </c>
      <c r="B569" s="304">
        <f t="shared" ca="1" si="239"/>
        <v>11.499999999999915</v>
      </c>
      <c r="D569" s="306">
        <f t="shared" ca="1" si="240"/>
        <v>-0.68094921739650238</v>
      </c>
      <c r="E569" s="307">
        <f t="shared" ca="1" si="241"/>
        <v>-13.123131445294039</v>
      </c>
      <c r="F569" s="304">
        <f t="shared" ca="1" si="242"/>
        <v>13.140786535331062</v>
      </c>
      <c r="G569" s="306">
        <f t="shared" ca="1" si="243"/>
        <v>18.318511833356116</v>
      </c>
      <c r="H569" s="307">
        <f t="shared" ca="1" si="244"/>
        <v>88.146993741042266</v>
      </c>
      <c r="I569" s="304">
        <f t="shared" ca="1" si="245"/>
        <v>90.030330341347479</v>
      </c>
      <c r="J569" s="306">
        <f t="shared" ca="1" si="246"/>
        <v>228.87776733998064</v>
      </c>
      <c r="K569" s="307">
        <f t="shared" ca="1" si="247"/>
        <v>1662.0633733558916</v>
      </c>
      <c r="L569" s="304">
        <f t="shared" ca="1" si="232"/>
        <v>1677.748398727801</v>
      </c>
      <c r="M569" s="306">
        <f t="shared" ca="1" si="248"/>
        <v>1.3658951039457869</v>
      </c>
      <c r="N569" s="304">
        <f t="shared" ca="1" si="249"/>
        <v>78.260024713676472</v>
      </c>
      <c r="P569" s="310">
        <f t="shared" ca="1" si="250"/>
        <v>23</v>
      </c>
      <c r="Q569" s="304">
        <f t="shared" ca="1" si="251"/>
        <v>0</v>
      </c>
      <c r="R569" s="306">
        <f t="shared" ca="1" si="252"/>
        <v>0</v>
      </c>
      <c r="S569" s="307">
        <f t="shared" ca="1" si="253"/>
        <v>10.637999999999975</v>
      </c>
      <c r="T569" s="304">
        <f t="shared" ca="1" si="233"/>
        <v>104.35877999999975</v>
      </c>
      <c r="U569" s="311">
        <f t="shared" ca="1" si="234"/>
        <v>0</v>
      </c>
      <c r="V569" s="306">
        <f t="shared" ca="1" si="235"/>
        <v>1.0370190494073375</v>
      </c>
      <c r="W569" s="304">
        <f t="shared" ca="1" si="236"/>
        <v>34.934337118419037</v>
      </c>
      <c r="Y569" s="314" t="str">
        <f t="shared" ca="1" si="254"/>
        <v/>
      </c>
      <c r="Z569" s="315" t="str">
        <f t="shared" ca="1" si="255"/>
        <v/>
      </c>
      <c r="AA569" s="316" t="str">
        <f t="shared" ca="1" si="256"/>
        <v/>
      </c>
      <c r="AC569" s="310" t="e">
        <f t="shared" ca="1" si="257"/>
        <v>#N/A</v>
      </c>
      <c r="AD569" s="323" t="e">
        <f t="shared" ca="1" si="258"/>
        <v>#N/A</v>
      </c>
      <c r="AE569" s="324">
        <f t="shared" ca="1" si="237"/>
        <v>1662.0633733558916</v>
      </c>
      <c r="AG569" s="306">
        <f t="shared" ca="1" si="259"/>
        <v>-12.99152654841064</v>
      </c>
      <c r="AH569" s="304">
        <f t="shared" ca="1" si="260"/>
        <v>-3.3823855206745832</v>
      </c>
    </row>
    <row r="570" spans="1:34" x14ac:dyDescent="0.25">
      <c r="A570" s="347">
        <f t="shared" ca="1" si="238"/>
        <v>0.1</v>
      </c>
      <c r="B570" s="304">
        <f t="shared" ca="1" si="239"/>
        <v>11.599999999999914</v>
      </c>
      <c r="D570" s="306">
        <f t="shared" ca="1" si="240"/>
        <v>-0.66818060687498981</v>
      </c>
      <c r="E570" s="307">
        <f t="shared" ca="1" si="241"/>
        <v>-13.025223611387919</v>
      </c>
      <c r="F570" s="304">
        <f t="shared" ca="1" si="242"/>
        <v>13.042350840629197</v>
      </c>
      <c r="G570" s="306">
        <f t="shared" ca="1" si="243"/>
        <v>18.251693772668617</v>
      </c>
      <c r="H570" s="307">
        <f t="shared" ca="1" si="244"/>
        <v>86.844471379903467</v>
      </c>
      <c r="I570" s="304">
        <f t="shared" ca="1" si="245"/>
        <v>88.741684313664805</v>
      </c>
      <c r="J570" s="306">
        <f t="shared" ca="1" si="246"/>
        <v>230.70627762028187</v>
      </c>
      <c r="K570" s="307">
        <f t="shared" ca="1" si="247"/>
        <v>1670.812946611939</v>
      </c>
      <c r="L570" s="304">
        <f t="shared" ca="1" si="232"/>
        <v>1686.6657312874643</v>
      </c>
      <c r="M570" s="306">
        <f t="shared" ca="1" si="248"/>
        <v>1.3636458263784499</v>
      </c>
      <c r="N570" s="304">
        <f t="shared" ca="1" si="249"/>
        <v>78.131150602114602</v>
      </c>
      <c r="P570" s="310">
        <f t="shared" ca="1" si="250"/>
        <v>23</v>
      </c>
      <c r="Q570" s="304">
        <f t="shared" ca="1" si="251"/>
        <v>0</v>
      </c>
      <c r="R570" s="306">
        <f t="shared" ca="1" si="252"/>
        <v>0</v>
      </c>
      <c r="S570" s="307">
        <f t="shared" ca="1" si="253"/>
        <v>10.637999999999975</v>
      </c>
      <c r="T570" s="304">
        <f t="shared" ca="1" si="233"/>
        <v>104.35877999999975</v>
      </c>
      <c r="U570" s="311">
        <f t="shared" ca="1" si="234"/>
        <v>0</v>
      </c>
      <c r="V570" s="306">
        <f t="shared" ca="1" si="235"/>
        <v>1.0361057610397937</v>
      </c>
      <c r="W570" s="304">
        <f t="shared" ca="1" si="236"/>
        <v>33.911539692180028</v>
      </c>
      <c r="Y570" s="314" t="str">
        <f t="shared" ca="1" si="254"/>
        <v/>
      </c>
      <c r="Z570" s="315" t="str">
        <f t="shared" ca="1" si="255"/>
        <v/>
      </c>
      <c r="AA570" s="316" t="str">
        <f t="shared" ca="1" si="256"/>
        <v/>
      </c>
      <c r="AC570" s="310" t="e">
        <f t="shared" ca="1" si="257"/>
        <v>#N/A</v>
      </c>
      <c r="AD570" s="323" t="e">
        <f t="shared" ca="1" si="258"/>
        <v>#N/A</v>
      </c>
      <c r="AE570" s="324">
        <f t="shared" ca="1" si="237"/>
        <v>1670.812946611939</v>
      </c>
      <c r="AG570" s="306">
        <f t="shared" ca="1" si="259"/>
        <v>-12.88870510752341</v>
      </c>
      <c r="AH570" s="304">
        <f t="shared" ca="1" si="260"/>
        <v>-3.2839196388812857</v>
      </c>
    </row>
    <row r="571" spans="1:34" x14ac:dyDescent="0.25">
      <c r="A571" s="347">
        <f t="shared" ca="1" si="238"/>
        <v>0.1</v>
      </c>
      <c r="B571" s="304">
        <f t="shared" ca="1" si="239"/>
        <v>11.699999999999914</v>
      </c>
      <c r="D571" s="306">
        <f t="shared" ca="1" si="240"/>
        <v>-0.65563635746701665</v>
      </c>
      <c r="E571" s="307">
        <f t="shared" ca="1" si="241"/>
        <v>-12.929622408246409</v>
      </c>
      <c r="F571" s="304">
        <f t="shared" ca="1" si="242"/>
        <v>12.946234767416366</v>
      </c>
      <c r="G571" s="306">
        <f t="shared" ca="1" si="243"/>
        <v>18.186130136921914</v>
      </c>
      <c r="H571" s="307">
        <f t="shared" ca="1" si="244"/>
        <v>85.551509139078831</v>
      </c>
      <c r="I571" s="304">
        <f t="shared" ca="1" si="245"/>
        <v>87.463112483669065</v>
      </c>
      <c r="J571" s="306">
        <f t="shared" ca="1" si="246"/>
        <v>232.5281688157614</v>
      </c>
      <c r="K571" s="307">
        <f t="shared" ca="1" si="247"/>
        <v>1679.432745637888</v>
      </c>
      <c r="L571" s="304">
        <f t="shared" ca="1" si="232"/>
        <v>1695.4538319911946</v>
      </c>
      <c r="M571" s="306">
        <f t="shared" ca="1" si="248"/>
        <v>1.3613389731139041</v>
      </c>
      <c r="N571" s="304">
        <f t="shared" ca="1" si="249"/>
        <v>77.998977646100158</v>
      </c>
      <c r="P571" s="310">
        <f t="shared" ca="1" si="250"/>
        <v>23</v>
      </c>
      <c r="Q571" s="304">
        <f t="shared" ca="1" si="251"/>
        <v>0</v>
      </c>
      <c r="R571" s="306">
        <f t="shared" ca="1" si="252"/>
        <v>0</v>
      </c>
      <c r="S571" s="307">
        <f t="shared" ca="1" si="253"/>
        <v>10.637999999999975</v>
      </c>
      <c r="T571" s="304">
        <f t="shared" ca="1" si="233"/>
        <v>104.35877999999975</v>
      </c>
      <c r="U571" s="311">
        <f t="shared" ca="1" si="234"/>
        <v>0</v>
      </c>
      <c r="V571" s="306">
        <f t="shared" ca="1" si="235"/>
        <v>1.035206739489495</v>
      </c>
      <c r="W571" s="304">
        <f t="shared" ca="1" si="236"/>
        <v>32.912815289333146</v>
      </c>
      <c r="Y571" s="314" t="str">
        <f t="shared" ca="1" si="254"/>
        <v/>
      </c>
      <c r="Z571" s="315" t="str">
        <f t="shared" ca="1" si="255"/>
        <v/>
      </c>
      <c r="AA571" s="316" t="str">
        <f t="shared" ca="1" si="256"/>
        <v/>
      </c>
      <c r="AC571" s="310" t="e">
        <f t="shared" ca="1" si="257"/>
        <v>#N/A</v>
      </c>
      <c r="AD571" s="323" t="e">
        <f t="shared" ca="1" si="258"/>
        <v>#N/A</v>
      </c>
      <c r="AE571" s="324">
        <f t="shared" ca="1" si="237"/>
        <v>1679.432745637888</v>
      </c>
      <c r="AG571" s="306">
        <f t="shared" ca="1" si="259"/>
        <v>-12.788045505170601</v>
      </c>
      <c r="AH571" s="304">
        <f t="shared" ca="1" si="260"/>
        <v>-3.1877739887366148</v>
      </c>
    </row>
    <row r="572" spans="1:34" x14ac:dyDescent="0.25">
      <c r="A572" s="347">
        <f t="shared" ca="1" si="238"/>
        <v>0.1</v>
      </c>
      <c r="B572" s="304">
        <f t="shared" ca="1" si="239"/>
        <v>11.799999999999914</v>
      </c>
      <c r="D572" s="306">
        <f t="shared" ca="1" si="240"/>
        <v>-0.64331016354175985</v>
      </c>
      <c r="E572" s="307">
        <f t="shared" ca="1" si="241"/>
        <v>-12.836270840532999</v>
      </c>
      <c r="F572" s="304">
        <f t="shared" ca="1" si="242"/>
        <v>12.852380987896128</v>
      </c>
      <c r="G572" s="306">
        <f t="shared" ca="1" si="243"/>
        <v>18.121799120567736</v>
      </c>
      <c r="H572" s="307">
        <f t="shared" ca="1" si="244"/>
        <v>84.267882055025538</v>
      </c>
      <c r="I572" s="304">
        <f t="shared" ca="1" si="245"/>
        <v>86.194405557471683</v>
      </c>
      <c r="J572" s="306">
        <f t="shared" ca="1" si="246"/>
        <v>234.34356527863588</v>
      </c>
      <c r="K572" s="307">
        <f t="shared" ca="1" si="247"/>
        <v>1687.9237151975933</v>
      </c>
      <c r="L572" s="304">
        <f t="shared" ca="1" si="232"/>
        <v>1704.1136625571514</v>
      </c>
      <c r="M572" s="306">
        <f t="shared" ca="1" si="248"/>
        <v>1.3589724775202101</v>
      </c>
      <c r="N572" s="304">
        <f t="shared" ca="1" si="249"/>
        <v>77.863387436345178</v>
      </c>
      <c r="P572" s="310">
        <f t="shared" ca="1" si="250"/>
        <v>23</v>
      </c>
      <c r="Q572" s="304">
        <f t="shared" ca="1" si="251"/>
        <v>0</v>
      </c>
      <c r="R572" s="306">
        <f t="shared" ca="1" si="252"/>
        <v>0</v>
      </c>
      <c r="S572" s="307">
        <f t="shared" ca="1" si="253"/>
        <v>10.637999999999975</v>
      </c>
      <c r="T572" s="304">
        <f t="shared" ca="1" si="233"/>
        <v>104.35877999999975</v>
      </c>
      <c r="U572" s="311">
        <f t="shared" ca="1" si="234"/>
        <v>0</v>
      </c>
      <c r="V572" s="306">
        <f t="shared" ca="1" si="235"/>
        <v>1.0343218531870686</v>
      </c>
      <c r="W572" s="304">
        <f t="shared" ca="1" si="236"/>
        <v>31.937575467659162</v>
      </c>
      <c r="Y572" s="314" t="str">
        <f t="shared" ca="1" si="254"/>
        <v/>
      </c>
      <c r="Z572" s="315" t="str">
        <f t="shared" ca="1" si="255"/>
        <v/>
      </c>
      <c r="AA572" s="316" t="str">
        <f t="shared" ca="1" si="256"/>
        <v/>
      </c>
      <c r="AC572" s="310" t="e">
        <f t="shared" ca="1" si="257"/>
        <v>#N/A</v>
      </c>
      <c r="AD572" s="323" t="e">
        <f t="shared" ca="1" si="258"/>
        <v>#N/A</v>
      </c>
      <c r="AE572" s="324">
        <f t="shared" ca="1" si="237"/>
        <v>1687.9237151975933</v>
      </c>
      <c r="AG572" s="306">
        <f t="shared" ca="1" si="259"/>
        <v>-12.689482834095985</v>
      </c>
      <c r="AH572" s="304">
        <f t="shared" ca="1" si="260"/>
        <v>-3.0938912661527751</v>
      </c>
    </row>
    <row r="573" spans="1:34" x14ac:dyDescent="0.25">
      <c r="A573" s="347">
        <f t="shared" ca="1" si="238"/>
        <v>0.1</v>
      </c>
      <c r="B573" s="304">
        <f t="shared" ca="1" si="239"/>
        <v>11.899999999999913</v>
      </c>
      <c r="D573" s="306">
        <f t="shared" ca="1" si="240"/>
        <v>-0.63119593138214425</v>
      </c>
      <c r="E573" s="307">
        <f t="shared" ca="1" si="241"/>
        <v>-12.745113889379443</v>
      </c>
      <c r="F573" s="304">
        <f t="shared" ca="1" si="242"/>
        <v>12.760734162149376</v>
      </c>
      <c r="G573" s="306">
        <f t="shared" ca="1" si="243"/>
        <v>18.058679527429522</v>
      </c>
      <c r="H573" s="307">
        <f t="shared" ca="1" si="244"/>
        <v>82.9933706660876</v>
      </c>
      <c r="I573" s="304">
        <f t="shared" ca="1" si="245"/>
        <v>84.935360603184648</v>
      </c>
      <c r="J573" s="306">
        <f t="shared" ca="1" si="246"/>
        <v>236.15258921103575</v>
      </c>
      <c r="K573" s="307">
        <f t="shared" ca="1" si="247"/>
        <v>1696.286777833649</v>
      </c>
      <c r="L573" s="304">
        <f t="shared" ca="1" si="232"/>
        <v>1712.6461625345555</v>
      </c>
      <c r="M573" s="306">
        <f t="shared" ca="1" si="248"/>
        <v>1.3565441730893919</v>
      </c>
      <c r="N573" s="304">
        <f t="shared" ca="1" si="249"/>
        <v>77.724255841086375</v>
      </c>
      <c r="P573" s="310">
        <f t="shared" ca="1" si="250"/>
        <v>23</v>
      </c>
      <c r="Q573" s="304">
        <f t="shared" ca="1" si="251"/>
        <v>0</v>
      </c>
      <c r="R573" s="306">
        <f t="shared" ca="1" si="252"/>
        <v>0</v>
      </c>
      <c r="S573" s="307">
        <f t="shared" ca="1" si="253"/>
        <v>10.637999999999975</v>
      </c>
      <c r="T573" s="304">
        <f t="shared" ca="1" si="233"/>
        <v>104.35877999999975</v>
      </c>
      <c r="U573" s="311">
        <f t="shared" ca="1" si="234"/>
        <v>0</v>
      </c>
      <c r="V573" s="306">
        <f t="shared" ca="1" si="235"/>
        <v>1.0334509737427338</v>
      </c>
      <c r="W573" s="304">
        <f t="shared" ca="1" si="236"/>
        <v>30.985252110198672</v>
      </c>
      <c r="Y573" s="314" t="str">
        <f t="shared" ca="1" si="254"/>
        <v/>
      </c>
      <c r="Z573" s="315" t="str">
        <f t="shared" ca="1" si="255"/>
        <v/>
      </c>
      <c r="AA573" s="316" t="str">
        <f t="shared" ca="1" si="256"/>
        <v/>
      </c>
      <c r="AC573" s="310" t="e">
        <f t="shared" ca="1" si="257"/>
        <v>#N/A</v>
      </c>
      <c r="AD573" s="323" t="e">
        <f t="shared" ca="1" si="258"/>
        <v>#N/A</v>
      </c>
      <c r="AE573" s="324">
        <f t="shared" ca="1" si="237"/>
        <v>1696.286777833649</v>
      </c>
      <c r="AG573" s="306">
        <f t="shared" ca="1" si="259"/>
        <v>-12.59295371737999</v>
      </c>
      <c r="AH573" s="304">
        <f t="shared" ca="1" si="260"/>
        <v>-3.0022161560123366</v>
      </c>
    </row>
    <row r="574" spans="1:34" x14ac:dyDescent="0.25">
      <c r="A574" s="347">
        <f t="shared" ca="1" si="238"/>
        <v>0.1</v>
      </c>
      <c r="B574" s="304">
        <f t="shared" ca="1" si="239"/>
        <v>11.999999999999913</v>
      </c>
      <c r="D574" s="306">
        <f t="shared" ca="1" si="240"/>
        <v>-0.61928777103387833</v>
      </c>
      <c r="E574" s="307">
        <f t="shared" ca="1" si="241"/>
        <v>-12.65609843440229</v>
      </c>
      <c r="F574" s="304">
        <f t="shared" ca="1" si="242"/>
        <v>12.671240859704001</v>
      </c>
      <c r="G574" s="306">
        <f t="shared" ca="1" si="243"/>
        <v>17.996750750326136</v>
      </c>
      <c r="H574" s="307">
        <f t="shared" ca="1" si="244"/>
        <v>81.727760822647369</v>
      </c>
      <c r="I574" s="304">
        <f t="shared" ca="1" si="245"/>
        <v>83.685780910816732</v>
      </c>
      <c r="J574" s="306">
        <f t="shared" ca="1" si="246"/>
        <v>237.95536072492354</v>
      </c>
      <c r="K574" s="307">
        <f t="shared" ca="1" si="247"/>
        <v>1704.5228344080858</v>
      </c>
      <c r="L574" s="304">
        <f t="shared" ca="1" si="232"/>
        <v>1721.0522498507426</v>
      </c>
      <c r="M574" s="306">
        <f t="shared" ca="1" si="248"/>
        <v>1.3540517874518436</v>
      </c>
      <c r="N574" s="304">
        <f t="shared" ca="1" si="249"/>
        <v>77.581452663135835</v>
      </c>
      <c r="P574" s="310">
        <f t="shared" ca="1" si="250"/>
        <v>23</v>
      </c>
      <c r="Q574" s="304">
        <f t="shared" ca="1" si="251"/>
        <v>0</v>
      </c>
      <c r="R574" s="306">
        <f t="shared" ca="1" si="252"/>
        <v>0</v>
      </c>
      <c r="S574" s="307">
        <f t="shared" ca="1" si="253"/>
        <v>10.637999999999975</v>
      </c>
      <c r="T574" s="304">
        <f t="shared" ca="1" si="233"/>
        <v>104.35877999999975</v>
      </c>
      <c r="U574" s="311">
        <f t="shared" ca="1" si="234"/>
        <v>0</v>
      </c>
      <c r="V574" s="306">
        <f t="shared" ca="1" si="235"/>
        <v>1.0325939758657359</v>
      </c>
      <c r="W574" s="304">
        <f t="shared" ca="1" si="236"/>
        <v>30.055296631058312</v>
      </c>
      <c r="Y574" s="314" t="str">
        <f t="shared" ca="1" si="254"/>
        <v/>
      </c>
      <c r="Z574" s="315" t="str">
        <f t="shared" ca="1" si="255"/>
        <v/>
      </c>
      <c r="AA574" s="316" t="str">
        <f t="shared" ca="1" si="256"/>
        <v/>
      </c>
      <c r="AC574" s="310">
        <f t="shared" ca="1" si="257"/>
        <v>11.999999999999913</v>
      </c>
      <c r="AD574" s="323">
        <f t="shared" ca="1" si="258"/>
        <v>237.95536072492354</v>
      </c>
      <c r="AE574" s="324">
        <f t="shared" ca="1" si="237"/>
        <v>1704.5228344080858</v>
      </c>
      <c r="AG574" s="306">
        <f t="shared" ca="1" si="259"/>
        <v>-12.498396196900281</v>
      </c>
      <c r="AH574" s="304">
        <f t="shared" ca="1" si="260"/>
        <v>-2.9126952538257891</v>
      </c>
    </row>
    <row r="575" spans="1:34" x14ac:dyDescent="0.25">
      <c r="A575" s="347">
        <f t="shared" ca="1" si="238"/>
        <v>0.1</v>
      </c>
      <c r="B575" s="304">
        <f t="shared" ca="1" si="239"/>
        <v>12.099999999999913</v>
      </c>
      <c r="D575" s="306">
        <f t="shared" ca="1" si="240"/>
        <v>-0.6075799885669757</v>
      </c>
      <c r="E575" s="307">
        <f t="shared" ca="1" si="241"/>
        <v>-12.569173179376769</v>
      </c>
      <c r="F575" s="304">
        <f t="shared" ca="1" si="242"/>
        <v>12.58384948478292</v>
      </c>
      <c r="G575" s="306">
        <f t="shared" ca="1" si="243"/>
        <v>17.935992751469438</v>
      </c>
      <c r="H575" s="307">
        <f t="shared" ca="1" si="244"/>
        <v>80.470843504709691</v>
      </c>
      <c r="I575" s="304">
        <f t="shared" ca="1" si="245"/>
        <v>82.445475863386477</v>
      </c>
      <c r="J575" s="306">
        <f t="shared" ca="1" si="246"/>
        <v>239.75199790001332</v>
      </c>
      <c r="K575" s="307">
        <f t="shared" ca="1" si="247"/>
        <v>1712.6327646244538</v>
      </c>
      <c r="L575" s="304">
        <f t="shared" ca="1" si="232"/>
        <v>1729.3328213395614</v>
      </c>
      <c r="M575" s="306">
        <f t="shared" ca="1" si="248"/>
        <v>1.3514929359624064</v>
      </c>
      <c r="N575" s="304">
        <f t="shared" ca="1" si="249"/>
        <v>77.434841272390329</v>
      </c>
      <c r="P575" s="310">
        <f t="shared" ca="1" si="250"/>
        <v>23</v>
      </c>
      <c r="Q575" s="304">
        <f t="shared" ca="1" si="251"/>
        <v>0</v>
      </c>
      <c r="R575" s="306">
        <f t="shared" ca="1" si="252"/>
        <v>0</v>
      </c>
      <c r="S575" s="307">
        <f t="shared" ca="1" si="253"/>
        <v>10.637999999999975</v>
      </c>
      <c r="T575" s="304">
        <f t="shared" ca="1" si="233"/>
        <v>104.35877999999975</v>
      </c>
      <c r="U575" s="311">
        <f t="shared" ca="1" si="234"/>
        <v>0</v>
      </c>
      <c r="V575" s="306">
        <f t="shared" ca="1" si="235"/>
        <v>1.0317507372866266</v>
      </c>
      <c r="W575" s="304">
        <f t="shared" ca="1" si="236"/>
        <v>29.147179218354832</v>
      </c>
      <c r="Y575" s="314" t="str">
        <f t="shared" ca="1" si="254"/>
        <v/>
      </c>
      <c r="Z575" s="315" t="str">
        <f t="shared" ca="1" si="255"/>
        <v/>
      </c>
      <c r="AA575" s="316" t="str">
        <f t="shared" ca="1" si="256"/>
        <v/>
      </c>
      <c r="AC575" s="310" t="e">
        <f t="shared" ca="1" si="257"/>
        <v>#N/A</v>
      </c>
      <c r="AD575" s="323" t="e">
        <f t="shared" ca="1" si="258"/>
        <v>#N/A</v>
      </c>
      <c r="AE575" s="324">
        <f t="shared" ca="1" si="237"/>
        <v>1712.6327646244538</v>
      </c>
      <c r="AG575" s="306">
        <f t="shared" ca="1" si="259"/>
        <v>-12.405749622675444</v>
      </c>
      <c r="AH575" s="304">
        <f t="shared" ca="1" si="260"/>
        <v>-2.825276991075238</v>
      </c>
    </row>
    <row r="576" spans="1:34" x14ac:dyDescent="0.25">
      <c r="A576" s="347">
        <f t="shared" ca="1" si="238"/>
        <v>0.1</v>
      </c>
      <c r="B576" s="304">
        <f t="shared" ca="1" si="239"/>
        <v>12.199999999999912</v>
      </c>
      <c r="D576" s="306">
        <f t="shared" ca="1" si="240"/>
        <v>-0.59606707873072062</v>
      </c>
      <c r="E576" s="307">
        <f t="shared" ca="1" si="241"/>
        <v>-12.484288581373317</v>
      </c>
      <c r="F576" s="304">
        <f t="shared" ca="1" si="242"/>
        <v>12.498510205034629</v>
      </c>
      <c r="G576" s="306">
        <f t="shared" ca="1" si="243"/>
        <v>17.876386043596366</v>
      </c>
      <c r="H576" s="307">
        <f t="shared" ca="1" si="244"/>
        <v>79.222414646572361</v>
      </c>
      <c r="I576" s="304">
        <f t="shared" ca="1" si="245"/>
        <v>81.214260819225146</v>
      </c>
      <c r="J576" s="306">
        <f t="shared" ca="1" si="246"/>
        <v>241.54261683976662</v>
      </c>
      <c r="K576" s="307">
        <f t="shared" ca="1" si="247"/>
        <v>1720.6174275320179</v>
      </c>
      <c r="L576" s="304">
        <f t="shared" ca="1" si="232"/>
        <v>1737.4887532518596</v>
      </c>
      <c r="M576" s="306">
        <f t="shared" ca="1" si="248"/>
        <v>1.3488651148226714</v>
      </c>
      <c r="N576" s="304">
        <f t="shared" ca="1" si="249"/>
        <v>77.284278211768253</v>
      </c>
      <c r="P576" s="310">
        <f t="shared" ca="1" si="250"/>
        <v>23</v>
      </c>
      <c r="Q576" s="304">
        <f t="shared" ca="1" si="251"/>
        <v>0</v>
      </c>
      <c r="R576" s="306">
        <f t="shared" ca="1" si="252"/>
        <v>0</v>
      </c>
      <c r="S576" s="307">
        <f t="shared" ca="1" si="253"/>
        <v>10.637999999999975</v>
      </c>
      <c r="T576" s="304">
        <f t="shared" ca="1" si="233"/>
        <v>104.35877999999975</v>
      </c>
      <c r="U576" s="311">
        <f t="shared" ca="1" si="234"/>
        <v>0</v>
      </c>
      <c r="V576" s="306">
        <f t="shared" ca="1" si="235"/>
        <v>1.0309211386822705</v>
      </c>
      <c r="W576" s="304">
        <f t="shared" ca="1" si="236"/>
        <v>28.260388112345684</v>
      </c>
      <c r="Y576" s="314" t="str">
        <f t="shared" ca="1" si="254"/>
        <v/>
      </c>
      <c r="Z576" s="315" t="str">
        <f t="shared" ca="1" si="255"/>
        <v/>
      </c>
      <c r="AA576" s="316" t="str">
        <f t="shared" ca="1" si="256"/>
        <v/>
      </c>
      <c r="AC576" s="310" t="e">
        <f t="shared" ca="1" si="257"/>
        <v>#N/A</v>
      </c>
      <c r="AD576" s="323" t="e">
        <f t="shared" ca="1" si="258"/>
        <v>#N/A</v>
      </c>
      <c r="AE576" s="324">
        <f t="shared" ca="1" si="237"/>
        <v>1720.6174275320179</v>
      </c>
      <c r="AG576" s="306">
        <f t="shared" ca="1" si="259"/>
        <v>-12.314954542626687</v>
      </c>
      <c r="AH576" s="304">
        <f t="shared" ca="1" si="260"/>
        <v>-2.7399115640491543</v>
      </c>
    </row>
    <row r="577" spans="1:34" x14ac:dyDescent="0.25">
      <c r="A577" s="347">
        <f t="shared" ca="1" si="238"/>
        <v>0.1</v>
      </c>
      <c r="B577" s="304">
        <f t="shared" ca="1" si="239"/>
        <v>12.299999999999912</v>
      </c>
      <c r="D577" s="306">
        <f t="shared" ca="1" si="240"/>
        <v>-0.58474371798446279</v>
      </c>
      <c r="E577" s="307">
        <f t="shared" ca="1" si="241"/>
        <v>-12.401396783173512</v>
      </c>
      <c r="F577" s="304">
        <f t="shared" ca="1" si="242"/>
        <v>12.415174883561996</v>
      </c>
      <c r="G577" s="306">
        <f t="shared" ca="1" si="243"/>
        <v>17.817911671797919</v>
      </c>
      <c r="H577" s="307">
        <f t="shared" ca="1" si="244"/>
        <v>77.982274968255012</v>
      </c>
      <c r="I577" s="304">
        <f t="shared" ca="1" si="245"/>
        <v>79.991957005492281</v>
      </c>
      <c r="J577" s="306">
        <f t="shared" ca="1" si="246"/>
        <v>243.32733172553634</v>
      </c>
      <c r="K577" s="307">
        <f t="shared" ca="1" si="247"/>
        <v>1728.4776620127593</v>
      </c>
      <c r="L577" s="304">
        <f t="shared" ca="1" si="232"/>
        <v>1745.5209017487484</v>
      </c>
      <c r="M577" s="306">
        <f t="shared" ca="1" si="248"/>
        <v>1.3461656937007609</v>
      </c>
      <c r="N577" s="304">
        <f t="shared" ca="1" si="249"/>
        <v>77.129612774354314</v>
      </c>
      <c r="P577" s="310">
        <f t="shared" ca="1" si="250"/>
        <v>23</v>
      </c>
      <c r="Q577" s="304">
        <f t="shared" ca="1" si="251"/>
        <v>0</v>
      </c>
      <c r="R577" s="306">
        <f t="shared" ca="1" si="252"/>
        <v>0</v>
      </c>
      <c r="S577" s="307">
        <f t="shared" ca="1" si="253"/>
        <v>10.637999999999975</v>
      </c>
      <c r="T577" s="304">
        <f t="shared" ca="1" si="233"/>
        <v>104.35877999999975</v>
      </c>
      <c r="U577" s="311">
        <f t="shared" ca="1" si="234"/>
        <v>0</v>
      </c>
      <c r="V577" s="306">
        <f t="shared" ca="1" si="235"/>
        <v>1.0301050636034765</v>
      </c>
      <c r="W577" s="304">
        <f t="shared" ca="1" si="236"/>
        <v>27.394428916910318</v>
      </c>
      <c r="Y577" s="314" t="str">
        <f t="shared" ca="1" si="254"/>
        <v/>
      </c>
      <c r="Z577" s="315" t="str">
        <f t="shared" ca="1" si="255"/>
        <v/>
      </c>
      <c r="AA577" s="316" t="str">
        <f t="shared" ca="1" si="256"/>
        <v/>
      </c>
      <c r="AC577" s="310" t="e">
        <f t="shared" ca="1" si="257"/>
        <v>#N/A</v>
      </c>
      <c r="AD577" s="323" t="e">
        <f t="shared" ca="1" si="258"/>
        <v>#N/A</v>
      </c>
      <c r="AE577" s="324">
        <f t="shared" ca="1" si="237"/>
        <v>1728.4776620127593</v>
      </c>
      <c r="AG577" s="306">
        <f t="shared" ca="1" si="259"/>
        <v>-12.225952592274936</v>
      </c>
      <c r="AH577" s="304">
        <f t="shared" ca="1" si="260"/>
        <v>-2.6565508659847481</v>
      </c>
    </row>
    <row r="578" spans="1:34" x14ac:dyDescent="0.25">
      <c r="A578" s="347">
        <f t="shared" ca="1" si="238"/>
        <v>0.1</v>
      </c>
      <c r="B578" s="304">
        <f t="shared" ca="1" si="239"/>
        <v>12.399999999999912</v>
      </c>
      <c r="D578" s="306">
        <f t="shared" ca="1" si="240"/>
        <v>-0.57360475788796772</v>
      </c>
      <c r="E578" s="307">
        <f t="shared" ca="1" si="241"/>
        <v>-12.320451548792827</v>
      </c>
      <c r="F578" s="304">
        <f t="shared" ca="1" si="242"/>
        <v>12.333797014075724</v>
      </c>
      <c r="G578" s="306">
        <f t="shared" ca="1" si="243"/>
        <v>17.760551196009121</v>
      </c>
      <c r="H578" s="307">
        <f t="shared" ca="1" si="244"/>
        <v>76.750229813375725</v>
      </c>
      <c r="I578" s="304">
        <f t="shared" ca="1" si="245"/>
        <v>78.778391422978729</v>
      </c>
      <c r="J578" s="306">
        <f t="shared" ca="1" si="246"/>
        <v>245.1062548689267</v>
      </c>
      <c r="K578" s="307">
        <f t="shared" ca="1" si="247"/>
        <v>1736.2142872518409</v>
      </c>
      <c r="L578" s="304">
        <f t="shared" ca="1" si="232"/>
        <v>1753.4301033783152</v>
      </c>
      <c r="M578" s="306">
        <f t="shared" ca="1" si="248"/>
        <v>1.3433919078061787</v>
      </c>
      <c r="N578" s="304">
        <f t="shared" ca="1" si="249"/>
        <v>76.970686549321826</v>
      </c>
      <c r="P578" s="310">
        <f t="shared" ca="1" si="250"/>
        <v>23</v>
      </c>
      <c r="Q578" s="304">
        <f t="shared" ca="1" si="251"/>
        <v>0</v>
      </c>
      <c r="R578" s="306">
        <f t="shared" ca="1" si="252"/>
        <v>0</v>
      </c>
      <c r="S578" s="307">
        <f t="shared" ca="1" si="253"/>
        <v>10.637999999999975</v>
      </c>
      <c r="T578" s="304">
        <f t="shared" ca="1" si="233"/>
        <v>104.35877999999975</v>
      </c>
      <c r="U578" s="311">
        <f t="shared" ca="1" si="234"/>
        <v>0</v>
      </c>
      <c r="V578" s="306">
        <f t="shared" ca="1" si="235"/>
        <v>1.0293023984051448</v>
      </c>
      <c r="W578" s="304">
        <f t="shared" ca="1" si="236"/>
        <v>26.548823942654288</v>
      </c>
      <c r="Y578" s="314" t="str">
        <f t="shared" ca="1" si="254"/>
        <v/>
      </c>
      <c r="Z578" s="315" t="str">
        <f t="shared" ca="1" si="255"/>
        <v/>
      </c>
      <c r="AA578" s="316" t="str">
        <f t="shared" ca="1" si="256"/>
        <v/>
      </c>
      <c r="AC578" s="310" t="e">
        <f t="shared" ca="1" si="257"/>
        <v>#N/A</v>
      </c>
      <c r="AD578" s="323" t="e">
        <f t="shared" ca="1" si="258"/>
        <v>#N/A</v>
      </c>
      <c r="AE578" s="324">
        <f t="shared" ca="1" si="237"/>
        <v>1736.2142872518409</v>
      </c>
      <c r="AG578" s="306">
        <f t="shared" ca="1" si="259"/>
        <v>-12.13868638386891</v>
      </c>
      <c r="AH578" s="304">
        <f t="shared" ca="1" si="260"/>
        <v>-2.5751484223454018</v>
      </c>
    </row>
    <row r="579" spans="1:34" x14ac:dyDescent="0.25">
      <c r="A579" s="347">
        <f t="shared" ca="1" si="238"/>
        <v>0.1</v>
      </c>
      <c r="B579" s="304">
        <f t="shared" ca="1" si="239"/>
        <v>12.499999999999911</v>
      </c>
      <c r="D579" s="306">
        <f t="shared" ca="1" si="240"/>
        <v>-0.56264521883636054</v>
      </c>
      <c r="E579" s="307">
        <f t="shared" ca="1" si="241"/>
        <v>-12.241408201947653</v>
      </c>
      <c r="F579" s="304">
        <f t="shared" ca="1" si="242"/>
        <v>12.254331659009017</v>
      </c>
      <c r="G579" s="306">
        <f t="shared" ca="1" si="243"/>
        <v>17.704286674125484</v>
      </c>
      <c r="H579" s="307">
        <f t="shared" ca="1" si="244"/>
        <v>75.526088993180963</v>
      </c>
      <c r="I579" s="304">
        <f t="shared" ca="1" si="245"/>
        <v>77.573396762327661</v>
      </c>
      <c r="J579" s="306">
        <f t="shared" ca="1" si="246"/>
        <v>246.87949676243343</v>
      </c>
      <c r="K579" s="307">
        <f t="shared" ca="1" si="247"/>
        <v>1743.8281031921688</v>
      </c>
      <c r="L579" s="304">
        <f t="shared" ca="1" si="232"/>
        <v>1761.2171755364157</v>
      </c>
      <c r="M579" s="306">
        <f t="shared" ca="1" si="248"/>
        <v>1.3405408493732991</v>
      </c>
      <c r="N579" s="304">
        <f t="shared" ca="1" si="249"/>
        <v>76.807332933972646</v>
      </c>
      <c r="P579" s="310">
        <f t="shared" ca="1" si="250"/>
        <v>23</v>
      </c>
      <c r="Q579" s="304">
        <f t="shared" ca="1" si="251"/>
        <v>0</v>
      </c>
      <c r="R579" s="306">
        <f t="shared" ca="1" si="252"/>
        <v>0</v>
      </c>
      <c r="S579" s="307">
        <f t="shared" ca="1" si="253"/>
        <v>10.637999999999975</v>
      </c>
      <c r="T579" s="304">
        <f t="shared" ca="1" si="233"/>
        <v>104.35877999999975</v>
      </c>
      <c r="U579" s="311">
        <f t="shared" ca="1" si="234"/>
        <v>0</v>
      </c>
      <c r="V579" s="306">
        <f t="shared" ca="1" si="235"/>
        <v>1.0285130321788374</v>
      </c>
      <c r="W579" s="304">
        <f t="shared" ca="1" si="236"/>
        <v>25.723111580009757</v>
      </c>
      <c r="Y579" s="314" t="str">
        <f t="shared" ca="1" si="254"/>
        <v/>
      </c>
      <c r="Z579" s="315" t="str">
        <f t="shared" ca="1" si="255"/>
        <v/>
      </c>
      <c r="AA579" s="316" t="str">
        <f t="shared" ca="1" si="256"/>
        <v/>
      </c>
      <c r="AC579" s="310" t="e">
        <f t="shared" ca="1" si="257"/>
        <v>#N/A</v>
      </c>
      <c r="AD579" s="323" t="e">
        <f t="shared" ca="1" si="258"/>
        <v>#N/A</v>
      </c>
      <c r="AE579" s="324">
        <f t="shared" ca="1" si="237"/>
        <v>1743.8281031921688</v>
      </c>
      <c r="AG579" s="306">
        <f t="shared" ca="1" si="259"/>
        <v>-12.053099394413286</v>
      </c>
      <c r="AH579" s="304">
        <f t="shared" ca="1" si="260"/>
        <v>-2.495659329070723</v>
      </c>
    </row>
    <row r="580" spans="1:34" x14ac:dyDescent="0.25">
      <c r="A580" s="347">
        <f t="shared" ca="1" si="238"/>
        <v>0.1</v>
      </c>
      <c r="B580" s="304">
        <f t="shared" ca="1" si="239"/>
        <v>12.599999999999911</v>
      </c>
      <c r="D580" s="306">
        <f t="shared" ca="1" si="240"/>
        <v>-0.5518602841259449</v>
      </c>
      <c r="E580" s="307">
        <f t="shared" ca="1" si="241"/>
        <v>-12.164223567313369</v>
      </c>
      <c r="F580" s="304">
        <f t="shared" ca="1" si="242"/>
        <v>12.176735390439324</v>
      </c>
      <c r="G580" s="306">
        <f t="shared" ca="1" si="243"/>
        <v>17.649100645712888</v>
      </c>
      <c r="H580" s="307">
        <f t="shared" ca="1" si="244"/>
        <v>74.30966663644962</v>
      </c>
      <c r="I580" s="304">
        <f t="shared" ca="1" si="245"/>
        <v>76.37681133186156</v>
      </c>
      <c r="J580" s="306">
        <f t="shared" ca="1" si="246"/>
        <v>248.64716612842534</v>
      </c>
      <c r="K580" s="307">
        <f t="shared" ca="1" si="247"/>
        <v>1751.3198909736502</v>
      </c>
      <c r="L580" s="304">
        <f t="shared" ref="L580:L643" ca="1" si="261">SQRT(pos_x^2+pos_z^2)</f>
        <v>1768.8829169121555</v>
      </c>
      <c r="M580" s="306">
        <f t="shared" ca="1" si="248"/>
        <v>1.3376094585026028</v>
      </c>
      <c r="N580" s="304">
        <f t="shared" ca="1" si="249"/>
        <v>76.639376608978566</v>
      </c>
      <c r="P580" s="310">
        <f t="shared" ca="1" si="250"/>
        <v>23</v>
      </c>
      <c r="Q580" s="304">
        <f t="shared" ca="1" si="251"/>
        <v>0</v>
      </c>
      <c r="R580" s="306">
        <f t="shared" ca="1" si="252"/>
        <v>0</v>
      </c>
      <c r="S580" s="307">
        <f t="shared" ca="1" si="253"/>
        <v>10.637999999999975</v>
      </c>
      <c r="T580" s="304">
        <f t="shared" ref="T580:T643" ca="1" si="262">m*g</f>
        <v>104.35877999999975</v>
      </c>
      <c r="U580" s="311">
        <f t="shared" ref="U580:U643" ca="1" si="263">IF(pos_xz&lt;L_rampe,Poids*COS(Beta),0)</f>
        <v>0</v>
      </c>
      <c r="V580" s="306">
        <f t="shared" ref="V580:V643" ca="1" si="264">Rho_moyen*(20000-Alt_rampe-pos_z)/(20000+Alt_rampe+pos_z)</f>
        <v>1.0277368566876712</v>
      </c>
      <c r="W580" s="304">
        <f t="shared" ref="W580:W643" ca="1" si="265">1/2*Rho*Sref*Cx*vit_xz^2</f>
        <v>24.916845700799385</v>
      </c>
      <c r="Y580" s="314" t="str">
        <f t="shared" ca="1" si="254"/>
        <v/>
      </c>
      <c r="Z580" s="315" t="str">
        <f t="shared" ca="1" si="255"/>
        <v/>
      </c>
      <c r="AA580" s="316" t="str">
        <f t="shared" ca="1" si="256"/>
        <v/>
      </c>
      <c r="AC580" s="310" t="e">
        <f t="shared" ca="1" si="257"/>
        <v>#N/A</v>
      </c>
      <c r="AD580" s="323" t="e">
        <f t="shared" ca="1" si="258"/>
        <v>#N/A</v>
      </c>
      <c r="AE580" s="324">
        <f t="shared" ref="AE580:AE643" ca="1" si="266">IF(t&lt;T_para, pos_z, NA())</f>
        <v>1751.3198909736502</v>
      </c>
      <c r="AG580" s="306">
        <f t="shared" ca="1" si="259"/>
        <v>-11.969135852034702</v>
      </c>
      <c r="AH580" s="304">
        <f t="shared" ca="1" si="260"/>
        <v>-2.4180401936463447</v>
      </c>
    </row>
    <row r="581" spans="1:34" x14ac:dyDescent="0.25">
      <c r="A581" s="347">
        <f t="shared" ref="A581:A644" ca="1" si="267">IF(B580+0.01&lt;=T_ini+ROUNDUP(Temps_fin_propu,0), 0.01, IF(K580&gt;0, 0.1, 0.0001))</f>
        <v>0.1</v>
      </c>
      <c r="B581" s="304">
        <f t="shared" ref="B581:B644" ca="1" si="268">B580+pas</f>
        <v>12.69999999999991</v>
      </c>
      <c r="D581" s="306">
        <f t="shared" ref="D581:D644" ca="1" si="269">IF(AND(L580&lt;L_rampe,Poussee&lt;Poids*SIN(M580)),0,(-W580+Poussee)/m*COS(M580)-U580/m*SIN(M580))</f>
        <v>-0.54124529433838309</v>
      </c>
      <c r="E581" s="307">
        <f t="shared" ref="E581:E644" ca="1" si="270">IF(AND(L580&lt;L_rampe,Poussee&lt;Poids*SIN(M580)),0,(-W580+Poussee)/m*SIN(M580)+U580/m*COS(M580)-Poids/m)</f>
        <v>-12.088855914428819</v>
      </c>
      <c r="F581" s="304">
        <f t="shared" ref="F581:F644" ca="1" si="271">SQRT(acc_x^2+acc_z^2)</f>
        <v>12.100966233671759</v>
      </c>
      <c r="G581" s="306">
        <f t="shared" ref="G581:G644" ca="1" si="272">G580+acc_x*pas</f>
        <v>17.594976116279049</v>
      </c>
      <c r="H581" s="307">
        <f t="shared" ref="H581:H644" ca="1" si="273">H580+acc_z*pas</f>
        <v>73.100781045006741</v>
      </c>
      <c r="I581" s="304">
        <f t="shared" ref="I581:I644" ca="1" si="274">SQRT(vit_x^2+vit_z^2)</f>
        <v>75.188478997266913</v>
      </c>
      <c r="J581" s="306">
        <f t="shared" ref="J581:J644" ca="1" si="275">J580+0.5*(vit_x+G580)*pas*(K580&gt;=0)</f>
        <v>250.40936996652493</v>
      </c>
      <c r="K581" s="307">
        <f t="shared" ref="K581:K644" ca="1" si="276">K580+0.5*(vit_z+H580)*pas</f>
        <v>1758.6904133577229</v>
      </c>
      <c r="L581" s="304">
        <f t="shared" ca="1" si="261"/>
        <v>1776.4281079186376</v>
      </c>
      <c r="M581" s="306">
        <f t="shared" ref="M581:M644" ca="1" si="277">IF(AND(L580&gt;L_rampe,G581&gt;0),ATAN2(G581,H581),$M$4)</f>
        <v>1.3345945133038466</v>
      </c>
      <c r="N581" s="304">
        <f t="shared" ref="N581:N644" ca="1" si="278">DEGREES(Beta)</f>
        <v>76.466632973626602</v>
      </c>
      <c r="P581" s="310">
        <f t="shared" ref="P581:P644" ca="1" si="279">MATCH(t-pas/2-T_ini,CdP_t)</f>
        <v>23</v>
      </c>
      <c r="Q581" s="304">
        <f t="shared" ref="Q581:Q644" ca="1" si="280">(INDEX(CdP,2,i_P+1)-INDEX(CdP,2,i_P+0))/(INDEX(CdP,1,i_P+1)-INDEX(CdP,1,i_P+0))*(t-pas/2-T_ini-INDEX(CdP,1,i_P+0))+INDEX(CdP,2,i_P+0)</f>
        <v>0</v>
      </c>
      <c r="R581" s="306">
        <f t="shared" ref="R581:R644" ca="1" si="281">Poussee/(g*ISP)</f>
        <v>0</v>
      </c>
      <c r="S581" s="307">
        <f t="shared" ref="S581:S644" ca="1" si="282">S580-Débit*pas</f>
        <v>10.637999999999975</v>
      </c>
      <c r="T581" s="304">
        <f t="shared" ca="1" si="262"/>
        <v>104.35877999999975</v>
      </c>
      <c r="U581" s="311">
        <f t="shared" ca="1" si="263"/>
        <v>0</v>
      </c>
      <c r="V581" s="306">
        <f t="shared" ca="1" si="264"/>
        <v>1.0269737663034517</v>
      </c>
      <c r="W581" s="304">
        <f t="shared" ca="1" si="265"/>
        <v>24.129595086820636</v>
      </c>
      <c r="Y581" s="314" t="str">
        <f t="shared" ref="Y581:Y644" ca="1" si="283">IF(AND(pos_z&lt;=0,K580&gt;0),"Impact balistique","") &amp; IF(AND(H582&lt;0,vit_z&gt;=0),"Apogée","") &amp; IF(AND(Poussee=0,Q580&gt;0),"Fin de propulsion","") &amp; IF(AND(L582&gt;L_rampe,pos_xz&lt;=L_rampe),"Sortie de rampe","")</f>
        <v/>
      </c>
      <c r="Z581" s="315" t="str">
        <f t="shared" ref="Z581:Z644" ca="1" si="284">IF(ABS(t-T_para)&lt;pas/2,"Para","")</f>
        <v/>
      </c>
      <c r="AA581" s="316" t="str">
        <f t="shared" ref="AA581:AA644" ca="1" si="285">IF(ABS(t-T_satellite)&lt;pas/2,"Satellite","")</f>
        <v/>
      </c>
      <c r="AC581" s="310" t="e">
        <f t="shared" ref="AC581:AC644" ca="1" si="286">IF(ABS(t-ROUND(t,0))&lt;0.001,t,NA())</f>
        <v>#N/A</v>
      </c>
      <c r="AD581" s="323" t="e">
        <f t="shared" ref="AD581:AD644" ca="1" si="287">IF(ABS(t-ROUND(t,0))&lt;0.001,pos_x,NA())</f>
        <v>#N/A</v>
      </c>
      <c r="AE581" s="324">
        <f t="shared" ca="1" si="266"/>
        <v>1758.6904133577229</v>
      </c>
      <c r="AG581" s="306">
        <f t="shared" ref="AG581:AG644" ca="1" si="288">IF(AND(L580&lt;L_rampe,Poussee&lt;Poids*SIN(M580)),0,(-W580+Poussee)/m-Poids*SIN(M580)/m)</f>
        <v>-11.886740620085881</v>
      </c>
      <c r="AH581" s="304">
        <f t="shared" ref="AH581:AH644" ca="1" si="289">IF(AND(L580&lt;L_rampe,Poussee&lt;Poids*SIN(M580)), g*SIN(M580), (-W580+Poussee)/m)</f>
        <v>-2.3422490788493553</v>
      </c>
    </row>
    <row r="582" spans="1:34" x14ac:dyDescent="0.25">
      <c r="A582" s="347">
        <f t="shared" ca="1" si="267"/>
        <v>0.1</v>
      </c>
      <c r="B582" s="304">
        <f t="shared" ca="1" si="268"/>
        <v>12.79999999999991</v>
      </c>
      <c r="D582" s="306">
        <f t="shared" ca="1" si="269"/>
        <v>-0.5307957420319358</v>
      </c>
      <c r="E582" s="307">
        <f t="shared" ca="1" si="270"/>
        <v>-12.015264904110829</v>
      </c>
      <c r="F582" s="304">
        <f t="shared" ca="1" si="271"/>
        <v>12.026983613346975</v>
      </c>
      <c r="G582" s="306">
        <f t="shared" ca="1" si="272"/>
        <v>17.541896542075857</v>
      </c>
      <c r="H582" s="307">
        <f t="shared" ca="1" si="273"/>
        <v>71.899254554595657</v>
      </c>
      <c r="I582" s="304">
        <f t="shared" ca="1" si="274"/>
        <v>74.008249133454285</v>
      </c>
      <c r="J582" s="306">
        <f t="shared" ca="1" si="275"/>
        <v>252.16621359944267</v>
      </c>
      <c r="K582" s="307">
        <f t="shared" ca="1" si="276"/>
        <v>1765.940415137703</v>
      </c>
      <c r="L582" s="304">
        <f t="shared" ca="1" si="261"/>
        <v>1783.8535111095314</v>
      </c>
      <c r="M582" s="306">
        <f t="shared" ca="1" si="277"/>
        <v>1.3314926192799106</v>
      </c>
      <c r="N582" s="304">
        <f t="shared" ca="1" si="278"/>
        <v>76.288907537558217</v>
      </c>
      <c r="P582" s="310">
        <f t="shared" ca="1" si="279"/>
        <v>23</v>
      </c>
      <c r="Q582" s="304">
        <f t="shared" ca="1" si="280"/>
        <v>0</v>
      </c>
      <c r="R582" s="306">
        <f t="shared" ca="1" si="281"/>
        <v>0</v>
      </c>
      <c r="S582" s="307">
        <f t="shared" ca="1" si="282"/>
        <v>10.637999999999975</v>
      </c>
      <c r="T582" s="304">
        <f t="shared" ca="1" si="262"/>
        <v>104.35877999999975</v>
      </c>
      <c r="U582" s="311">
        <f t="shared" ca="1" si="263"/>
        <v>0</v>
      </c>
      <c r="V582" s="306">
        <f t="shared" ca="1" si="264"/>
        <v>1.0262236579459554</v>
      </c>
      <c r="W582" s="304">
        <f t="shared" ca="1" si="265"/>
        <v>23.360942884088669</v>
      </c>
      <c r="Y582" s="314" t="str">
        <f t="shared" ca="1" si="283"/>
        <v/>
      </c>
      <c r="Z582" s="315" t="str">
        <f t="shared" ca="1" si="284"/>
        <v/>
      </c>
      <c r="AA582" s="316" t="str">
        <f t="shared" ca="1" si="285"/>
        <v/>
      </c>
      <c r="AC582" s="310" t="e">
        <f t="shared" ca="1" si="286"/>
        <v>#N/A</v>
      </c>
      <c r="AD582" s="323" t="e">
        <f t="shared" ca="1" si="287"/>
        <v>#N/A</v>
      </c>
      <c r="AE582" s="324">
        <f t="shared" ca="1" si="266"/>
        <v>1765.940415137703</v>
      </c>
      <c r="AG582" s="306">
        <f t="shared" ca="1" si="288"/>
        <v>-11.805859078344977</v>
      </c>
      <c r="AH582" s="304">
        <f t="shared" ca="1" si="289"/>
        <v>-2.2682454490337181</v>
      </c>
    </row>
    <row r="583" spans="1:34" x14ac:dyDescent="0.25">
      <c r="A583" s="347">
        <f t="shared" ca="1" si="267"/>
        <v>0.1</v>
      </c>
      <c r="B583" s="304">
        <f t="shared" ca="1" si="268"/>
        <v>12.89999999999991</v>
      </c>
      <c r="D583" s="306">
        <f t="shared" ca="1" si="269"/>
        <v>-0.52050726672957592</v>
      </c>
      <c r="E583" s="307">
        <f t="shared" ca="1" si="270"/>
        <v>-11.943411537249778</v>
      </c>
      <c r="F583" s="304">
        <f t="shared" ca="1" si="271"/>
        <v>11.954748301943852</v>
      </c>
      <c r="G583" s="306">
        <f t="shared" ca="1" si="272"/>
        <v>17.489845815402902</v>
      </c>
      <c r="H583" s="307">
        <f t="shared" ca="1" si="273"/>
        <v>70.70491340087068</v>
      </c>
      <c r="I583" s="304">
        <f t="shared" ca="1" si="274"/>
        <v>72.835976588985119</v>
      </c>
      <c r="J583" s="306">
        <f t="shared" ca="1" si="275"/>
        <v>253.9178007173166</v>
      </c>
      <c r="K583" s="307">
        <f t="shared" ca="1" si="276"/>
        <v>1773.0706235354762</v>
      </c>
      <c r="L583" s="304">
        <f t="shared" ca="1" si="261"/>
        <v>1791.1598715819873</v>
      </c>
      <c r="M583" s="306">
        <f t="shared" ca="1" si="277"/>
        <v>1.3283001978840316</v>
      </c>
      <c r="N583" s="304">
        <f t="shared" ca="1" si="278"/>
        <v>76.105995265147101</v>
      </c>
      <c r="P583" s="310">
        <f t="shared" ca="1" si="279"/>
        <v>23</v>
      </c>
      <c r="Q583" s="304">
        <f t="shared" ca="1" si="280"/>
        <v>0</v>
      </c>
      <c r="R583" s="306">
        <f t="shared" ca="1" si="281"/>
        <v>0</v>
      </c>
      <c r="S583" s="307">
        <f t="shared" ca="1" si="282"/>
        <v>10.637999999999975</v>
      </c>
      <c r="T583" s="304">
        <f t="shared" ca="1" si="262"/>
        <v>104.35877999999975</v>
      </c>
      <c r="U583" s="311">
        <f t="shared" ca="1" si="263"/>
        <v>0</v>
      </c>
      <c r="V583" s="306">
        <f t="shared" ca="1" si="264"/>
        <v>1.0254864310242822</v>
      </c>
      <c r="W583" s="304">
        <f t="shared" ca="1" si="265"/>
        <v>22.610486081454884</v>
      </c>
      <c r="Y583" s="314" t="str">
        <f t="shared" ca="1" si="283"/>
        <v/>
      </c>
      <c r="Z583" s="315" t="str">
        <f t="shared" ca="1" si="284"/>
        <v/>
      </c>
      <c r="AA583" s="316" t="str">
        <f t="shared" ca="1" si="285"/>
        <v/>
      </c>
      <c r="AC583" s="310" t="e">
        <f t="shared" ca="1" si="286"/>
        <v>#N/A</v>
      </c>
      <c r="AD583" s="323" t="e">
        <f t="shared" ca="1" si="287"/>
        <v>#N/A</v>
      </c>
      <c r="AE583" s="324">
        <f t="shared" ca="1" si="266"/>
        <v>1773.0706235354762</v>
      </c>
      <c r="AG583" s="306">
        <f t="shared" ca="1" si="288"/>
        <v>-11.72643700061654</v>
      </c>
      <c r="AH583" s="304">
        <f t="shared" ca="1" si="289"/>
        <v>-2.1959901188276674</v>
      </c>
    </row>
    <row r="584" spans="1:34" x14ac:dyDescent="0.25">
      <c r="A584" s="347">
        <f t="shared" ca="1" si="267"/>
        <v>0.1</v>
      </c>
      <c r="B584" s="304">
        <f t="shared" ca="1" si="268"/>
        <v>12.999999999999909</v>
      </c>
      <c r="D584" s="306">
        <f t="shared" ca="1" si="269"/>
        <v>-0.51037565019498121</v>
      </c>
      <c r="E584" s="307">
        <f t="shared" ca="1" si="270"/>
        <v>-11.873258105864437</v>
      </c>
      <c r="F584" s="304">
        <f t="shared" ca="1" si="271"/>
        <v>11.884222370554477</v>
      </c>
      <c r="G584" s="306">
        <f t="shared" ca="1" si="272"/>
        <v>17.438808250383403</v>
      </c>
      <c r="H584" s="307">
        <f t="shared" ca="1" si="273"/>
        <v>69.517587590284236</v>
      </c>
      <c r="I584" s="304">
        <f t="shared" ca="1" si="274"/>
        <v>71.671521663534392</v>
      </c>
      <c r="J584" s="306">
        <f t="shared" ca="1" si="275"/>
        <v>255.66423342060591</v>
      </c>
      <c r="K584" s="307">
        <f t="shared" ca="1" si="276"/>
        <v>1780.0817485850339</v>
      </c>
      <c r="L584" s="304">
        <f t="shared" ca="1" si="261"/>
        <v>1798.3479173664082</v>
      </c>
      <c r="M584" s="306">
        <f t="shared" ca="1" si="277"/>
        <v>1.3250134741764583</v>
      </c>
      <c r="N584" s="304">
        <f t="shared" ca="1" si="278"/>
        <v>75.91767986827756</v>
      </c>
      <c r="P584" s="310">
        <f t="shared" ca="1" si="279"/>
        <v>23</v>
      </c>
      <c r="Q584" s="304">
        <f t="shared" ca="1" si="280"/>
        <v>0</v>
      </c>
      <c r="R584" s="306">
        <f t="shared" ca="1" si="281"/>
        <v>0</v>
      </c>
      <c r="S584" s="307">
        <f t="shared" ca="1" si="282"/>
        <v>10.637999999999975</v>
      </c>
      <c r="T584" s="304">
        <f t="shared" ca="1" si="262"/>
        <v>104.35877999999975</v>
      </c>
      <c r="U584" s="311">
        <f t="shared" ca="1" si="263"/>
        <v>0</v>
      </c>
      <c r="V584" s="306">
        <f t="shared" ca="1" si="264"/>
        <v>1.0247619873802052</v>
      </c>
      <c r="W584" s="304">
        <f t="shared" ca="1" si="265"/>
        <v>21.877835012390079</v>
      </c>
      <c r="Y584" s="314" t="str">
        <f t="shared" ca="1" si="283"/>
        <v/>
      </c>
      <c r="Z584" s="315" t="str">
        <f t="shared" ca="1" si="284"/>
        <v/>
      </c>
      <c r="AA584" s="316" t="str">
        <f t="shared" ca="1" si="285"/>
        <v/>
      </c>
      <c r="AC584" s="310">
        <f t="shared" ca="1" si="286"/>
        <v>12.999999999999909</v>
      </c>
      <c r="AD584" s="323">
        <f t="shared" ca="1" si="287"/>
        <v>255.66423342060591</v>
      </c>
      <c r="AE584" s="324">
        <f t="shared" ca="1" si="266"/>
        <v>1780.0817485850339</v>
      </c>
      <c r="AG584" s="306">
        <f t="shared" ca="1" si="288"/>
        <v>-11.648420427982328</v>
      </c>
      <c r="AH584" s="304">
        <f t="shared" ca="1" si="289"/>
        <v>-2.1254452041224794</v>
      </c>
    </row>
    <row r="585" spans="1:34" x14ac:dyDescent="0.25">
      <c r="A585" s="347">
        <f t="shared" ca="1" si="267"/>
        <v>0.1</v>
      </c>
      <c r="B585" s="304">
        <f t="shared" ca="1" si="268"/>
        <v>13.099999999999909</v>
      </c>
      <c r="D585" s="306">
        <f t="shared" ca="1" si="269"/>
        <v>-0.50039681198851826</v>
      </c>
      <c r="E585" s="307">
        <f t="shared" ca="1" si="270"/>
        <v>-11.804768146300709</v>
      </c>
      <c r="F585" s="304">
        <f t="shared" ca="1" si="271"/>
        <v>11.815369141815424</v>
      </c>
      <c r="G585" s="306">
        <f t="shared" ca="1" si="272"/>
        <v>17.388768569184553</v>
      </c>
      <c r="H585" s="307">
        <f t="shared" ca="1" si="273"/>
        <v>68.337110775654168</v>
      </c>
      <c r="I585" s="304">
        <f t="shared" ca="1" si="274"/>
        <v>70.514750098945186</v>
      </c>
      <c r="J585" s="306">
        <f t="shared" ca="1" si="275"/>
        <v>257.40561226158428</v>
      </c>
      <c r="K585" s="307">
        <f t="shared" ca="1" si="276"/>
        <v>1786.9744835033307</v>
      </c>
      <c r="L585" s="304">
        <f t="shared" ca="1" si="261"/>
        <v>1805.4183598035545</v>
      </c>
      <c r="M585" s="306">
        <f t="shared" ca="1" si="277"/>
        <v>1.321628463499158</v>
      </c>
      <c r="N585" s="304">
        <f t="shared" ca="1" si="278"/>
        <v>75.723733042861525</v>
      </c>
      <c r="P585" s="310">
        <f t="shared" ca="1" si="279"/>
        <v>23</v>
      </c>
      <c r="Q585" s="304">
        <f t="shared" ca="1" si="280"/>
        <v>0</v>
      </c>
      <c r="R585" s="306">
        <f t="shared" ca="1" si="281"/>
        <v>0</v>
      </c>
      <c r="S585" s="307">
        <f t="shared" ca="1" si="282"/>
        <v>10.637999999999975</v>
      </c>
      <c r="T585" s="304">
        <f t="shared" ca="1" si="262"/>
        <v>104.35877999999975</v>
      </c>
      <c r="U585" s="311">
        <f t="shared" ca="1" si="263"/>
        <v>0</v>
      </c>
      <c r="V585" s="306">
        <f t="shared" ca="1" si="264"/>
        <v>1.0240502312334299</v>
      </c>
      <c r="W585" s="304">
        <f t="shared" ca="1" si="265"/>
        <v>21.162612878789627</v>
      </c>
      <c r="Y585" s="314" t="str">
        <f t="shared" ca="1" si="283"/>
        <v/>
      </c>
      <c r="Z585" s="315" t="str">
        <f t="shared" ca="1" si="284"/>
        <v/>
      </c>
      <c r="AA585" s="316" t="str">
        <f t="shared" ca="1" si="285"/>
        <v/>
      </c>
      <c r="AC585" s="310" t="e">
        <f t="shared" ca="1" si="286"/>
        <v>#N/A</v>
      </c>
      <c r="AD585" s="323" t="e">
        <f t="shared" ca="1" si="287"/>
        <v>#N/A</v>
      </c>
      <c r="AE585" s="324">
        <f t="shared" ca="1" si="266"/>
        <v>1786.9744835033307</v>
      </c>
      <c r="AG585" s="306">
        <f t="shared" ca="1" si="288"/>
        <v>-11.571755536882911</v>
      </c>
      <c r="AH585" s="304">
        <f t="shared" ca="1" si="289"/>
        <v>-2.0565740752387791</v>
      </c>
    </row>
    <row r="586" spans="1:34" x14ac:dyDescent="0.25">
      <c r="A586" s="347">
        <f t="shared" ca="1" si="267"/>
        <v>0.1</v>
      </c>
      <c r="B586" s="304">
        <f t="shared" ca="1" si="268"/>
        <v>13.199999999999909</v>
      </c>
      <c r="D586" s="306">
        <f t="shared" ca="1" si="269"/>
        <v>-0.49056680529648888</v>
      </c>
      <c r="E586" s="307">
        <f t="shared" ca="1" si="270"/>
        <v>-11.737906394465117</v>
      </c>
      <c r="F586" s="304">
        <f t="shared" ca="1" si="271"/>
        <v>11.748153144885537</v>
      </c>
      <c r="G586" s="306">
        <f t="shared" ca="1" si="272"/>
        <v>17.339711888654904</v>
      </c>
      <c r="H586" s="307">
        <f t="shared" ca="1" si="273"/>
        <v>67.163320136207659</v>
      </c>
      <c r="I586" s="304">
        <f t="shared" ca="1" si="274"/>
        <v>69.3655330845246</v>
      </c>
      <c r="J586" s="306">
        <f t="shared" ca="1" si="275"/>
        <v>259.14203628447626</v>
      </c>
      <c r="K586" s="307">
        <f t="shared" ca="1" si="276"/>
        <v>1793.7495050489238</v>
      </c>
      <c r="L586" s="304">
        <f t="shared" ca="1" si="261"/>
        <v>1812.3718939094492</v>
      </c>
      <c r="M586" s="306">
        <f t="shared" ca="1" si="277"/>
        <v>1.3181409570790021</v>
      </c>
      <c r="N586" s="304">
        <f t="shared" ca="1" si="278"/>
        <v>75.523913643961819</v>
      </c>
      <c r="P586" s="310">
        <f t="shared" ca="1" si="279"/>
        <v>23</v>
      </c>
      <c r="Q586" s="304">
        <f t="shared" ca="1" si="280"/>
        <v>0</v>
      </c>
      <c r="R586" s="306">
        <f t="shared" ca="1" si="281"/>
        <v>0</v>
      </c>
      <c r="S586" s="307">
        <f t="shared" ca="1" si="282"/>
        <v>10.637999999999975</v>
      </c>
      <c r="T586" s="304">
        <f t="shared" ca="1" si="262"/>
        <v>104.35877999999975</v>
      </c>
      <c r="U586" s="311">
        <f t="shared" ca="1" si="263"/>
        <v>0</v>
      </c>
      <c r="V586" s="306">
        <f t="shared" ca="1" si="264"/>
        <v>1.0233510691287082</v>
      </c>
      <c r="W586" s="304">
        <f t="shared" ca="1" si="265"/>
        <v>20.464455295721965</v>
      </c>
      <c r="Y586" s="314" t="str">
        <f t="shared" ca="1" si="283"/>
        <v/>
      </c>
      <c r="Z586" s="315" t="str">
        <f t="shared" ca="1" si="284"/>
        <v/>
      </c>
      <c r="AA586" s="316" t="str">
        <f t="shared" ca="1" si="285"/>
        <v/>
      </c>
      <c r="AC586" s="310" t="e">
        <f t="shared" ca="1" si="286"/>
        <v>#N/A</v>
      </c>
      <c r="AD586" s="323" t="e">
        <f t="shared" ca="1" si="287"/>
        <v>#N/A</v>
      </c>
      <c r="AE586" s="324">
        <f t="shared" ca="1" si="266"/>
        <v>1793.7495050489238</v>
      </c>
      <c r="AG586" s="306">
        <f t="shared" ca="1" si="288"/>
        <v>-11.496388501133943</v>
      </c>
      <c r="AH586" s="304">
        <f t="shared" ca="1" si="289"/>
        <v>-1.9893413121629702</v>
      </c>
    </row>
    <row r="587" spans="1:34" x14ac:dyDescent="0.25">
      <c r="A587" s="347">
        <f t="shared" ca="1" si="267"/>
        <v>0.1</v>
      </c>
      <c r="B587" s="304">
        <f t="shared" ca="1" si="268"/>
        <v>13.299999999999908</v>
      </c>
      <c r="D587" s="306">
        <f t="shared" ca="1" si="269"/>
        <v>-0.48088181302805921</v>
      </c>
      <c r="E587" s="307">
        <f t="shared" ca="1" si="270"/>
        <v>-11.672638742989458</v>
      </c>
      <c r="F587" s="304">
        <f t="shared" ca="1" si="271"/>
        <v>11.682540072366097</v>
      </c>
      <c r="G587" s="306">
        <f t="shared" ca="1" si="272"/>
        <v>17.291623707352098</v>
      </c>
      <c r="H587" s="307">
        <f t="shared" ca="1" si="273"/>
        <v>65.99605626190872</v>
      </c>
      <c r="I587" s="304">
        <f t="shared" ca="1" si="274"/>
        <v>68.22374727733505</v>
      </c>
      <c r="J587" s="306">
        <f t="shared" ca="1" si="275"/>
        <v>260.87360306427661</v>
      </c>
      <c r="K587" s="307">
        <f t="shared" ca="1" si="276"/>
        <v>1800.4074738688296</v>
      </c>
      <c r="L587" s="304">
        <f t="shared" ca="1" si="261"/>
        <v>1819.2091987285239</v>
      </c>
      <c r="M587" s="306">
        <f t="shared" ca="1" si="277"/>
        <v>1.3145465064607464</v>
      </c>
      <c r="N587" s="304">
        <f t="shared" ca="1" si="278"/>
        <v>75.317966793867569</v>
      </c>
      <c r="P587" s="310">
        <f t="shared" ca="1" si="279"/>
        <v>23</v>
      </c>
      <c r="Q587" s="304">
        <f t="shared" ca="1" si="280"/>
        <v>0</v>
      </c>
      <c r="R587" s="306">
        <f t="shared" ca="1" si="281"/>
        <v>0</v>
      </c>
      <c r="S587" s="307">
        <f t="shared" ca="1" si="282"/>
        <v>10.637999999999975</v>
      </c>
      <c r="T587" s="304">
        <f t="shared" ca="1" si="262"/>
        <v>104.35877999999975</v>
      </c>
      <c r="U587" s="311">
        <f t="shared" ca="1" si="263"/>
        <v>0</v>
      </c>
      <c r="V587" s="306">
        <f t="shared" ca="1" si="264"/>
        <v>1.0226644098847284</v>
      </c>
      <c r="W587" s="304">
        <f t="shared" ca="1" si="265"/>
        <v>19.783009856101824</v>
      </c>
      <c r="Y587" s="314" t="str">
        <f t="shared" ca="1" si="283"/>
        <v/>
      </c>
      <c r="Z587" s="315" t="str">
        <f t="shared" ca="1" si="284"/>
        <v/>
      </c>
      <c r="AA587" s="316" t="str">
        <f t="shared" ca="1" si="285"/>
        <v/>
      </c>
      <c r="AC587" s="310" t="e">
        <f t="shared" ca="1" si="286"/>
        <v>#N/A</v>
      </c>
      <c r="AD587" s="323" t="e">
        <f t="shared" ca="1" si="287"/>
        <v>#N/A</v>
      </c>
      <c r="AE587" s="324">
        <f t="shared" ca="1" si="266"/>
        <v>1800.4074738688296</v>
      </c>
      <c r="AG587" s="306">
        <f t="shared" ca="1" si="288"/>
        <v>-11.422265346892663</v>
      </c>
      <c r="AH587" s="304">
        <f t="shared" ca="1" si="289"/>
        <v>-1.9237126617523983</v>
      </c>
    </row>
    <row r="588" spans="1:34" x14ac:dyDescent="0.25">
      <c r="A588" s="347">
        <f t="shared" ca="1" si="267"/>
        <v>0.1</v>
      </c>
      <c r="B588" s="304">
        <f t="shared" ca="1" si="268"/>
        <v>13.399999999999908</v>
      </c>
      <c r="D588" s="306">
        <f t="shared" ca="1" si="269"/>
        <v>-0.47133814417547709</v>
      </c>
      <c r="E588" s="307">
        <f t="shared" ca="1" si="270"/>
        <v>-11.608932200228399</v>
      </c>
      <c r="F588" s="304">
        <f t="shared" ca="1" si="271"/>
        <v>11.618496739064591</v>
      </c>
      <c r="G588" s="306">
        <f t="shared" ca="1" si="272"/>
        <v>17.244489892934549</v>
      </c>
      <c r="H588" s="307">
        <f t="shared" ca="1" si="273"/>
        <v>64.835163041885878</v>
      </c>
      <c r="I588" s="304">
        <f t="shared" ca="1" si="274"/>
        <v>67.089274838348388</v>
      </c>
      <c r="J588" s="306">
        <f t="shared" ca="1" si="275"/>
        <v>262.60040874429092</v>
      </c>
      <c r="K588" s="307">
        <f t="shared" ca="1" si="276"/>
        <v>1806.9490348340194</v>
      </c>
      <c r="L588" s="304">
        <f t="shared" ca="1" si="261"/>
        <v>1825.9309376754265</v>
      </c>
      <c r="M588" s="306">
        <f t="shared" ca="1" si="277"/>
        <v>1.3108404066610169</v>
      </c>
      <c r="N588" s="304">
        <f t="shared" ca="1" si="278"/>
        <v>75.105622916888791</v>
      </c>
      <c r="P588" s="310">
        <f t="shared" ca="1" si="279"/>
        <v>23</v>
      </c>
      <c r="Q588" s="304">
        <f t="shared" ca="1" si="280"/>
        <v>0</v>
      </c>
      <c r="R588" s="306">
        <f t="shared" ca="1" si="281"/>
        <v>0</v>
      </c>
      <c r="S588" s="307">
        <f t="shared" ca="1" si="282"/>
        <v>10.637999999999975</v>
      </c>
      <c r="T588" s="304">
        <f t="shared" ca="1" si="262"/>
        <v>104.35877999999975</v>
      </c>
      <c r="U588" s="311">
        <f t="shared" ca="1" si="263"/>
        <v>0</v>
      </c>
      <c r="V588" s="306">
        <f t="shared" ca="1" si="264"/>
        <v>1.0219901645447194</v>
      </c>
      <c r="W588" s="304">
        <f t="shared" ca="1" si="265"/>
        <v>19.117935714325441</v>
      </c>
      <c r="Y588" s="314" t="str">
        <f t="shared" ca="1" si="283"/>
        <v/>
      </c>
      <c r="Z588" s="315" t="str">
        <f t="shared" ca="1" si="284"/>
        <v/>
      </c>
      <c r="AA588" s="316" t="str">
        <f t="shared" ca="1" si="285"/>
        <v/>
      </c>
      <c r="AC588" s="310" t="e">
        <f t="shared" ca="1" si="286"/>
        <v>#N/A</v>
      </c>
      <c r="AD588" s="323" t="e">
        <f t="shared" ca="1" si="287"/>
        <v>#N/A</v>
      </c>
      <c r="AE588" s="324">
        <f t="shared" ca="1" si="266"/>
        <v>1806.9490348340194</v>
      </c>
      <c r="AG588" s="306">
        <f t="shared" ca="1" si="288"/>
        <v>-11.349331799489018</v>
      </c>
      <c r="AH588" s="304">
        <f t="shared" ca="1" si="289"/>
        <v>-1.8596549968134866</v>
      </c>
    </row>
    <row r="589" spans="1:34" x14ac:dyDescent="0.25">
      <c r="A589" s="347">
        <f t="shared" ca="1" si="267"/>
        <v>0.1</v>
      </c>
      <c r="B589" s="304">
        <f t="shared" ca="1" si="268"/>
        <v>13.499999999999908</v>
      </c>
      <c r="D589" s="306">
        <f t="shared" ca="1" si="269"/>
        <v>-0.46193223043437831</v>
      </c>
      <c r="E589" s="307">
        <f t="shared" ca="1" si="270"/>
        <v>-11.546754850996543</v>
      </c>
      <c r="F589" s="304">
        <f t="shared" ca="1" si="271"/>
        <v>11.555991042508049</v>
      </c>
      <c r="G589" s="306">
        <f t="shared" ca="1" si="272"/>
        <v>17.198296669891111</v>
      </c>
      <c r="H589" s="307">
        <f t="shared" ca="1" si="273"/>
        <v>63.680487556786225</v>
      </c>
      <c r="I589" s="304">
        <f t="shared" ca="1" si="274"/>
        <v>65.962003485458141</v>
      </c>
      <c r="J589" s="306">
        <f t="shared" ca="1" si="275"/>
        <v>264.3225480724322</v>
      </c>
      <c r="K589" s="307">
        <f t="shared" ca="1" si="276"/>
        <v>1813.3748173639531</v>
      </c>
      <c r="L589" s="304">
        <f t="shared" ca="1" si="261"/>
        <v>1832.5377588658994</v>
      </c>
      <c r="M589" s="306">
        <f t="shared" ca="1" si="277"/>
        <v>1.3070176779232852</v>
      </c>
      <c r="N589" s="304">
        <f t="shared" ca="1" si="278"/>
        <v>74.886596693993397</v>
      </c>
      <c r="P589" s="310">
        <f t="shared" ca="1" si="279"/>
        <v>23</v>
      </c>
      <c r="Q589" s="304">
        <f t="shared" ca="1" si="280"/>
        <v>0</v>
      </c>
      <c r="R589" s="306">
        <f t="shared" ca="1" si="281"/>
        <v>0</v>
      </c>
      <c r="S589" s="307">
        <f t="shared" ca="1" si="282"/>
        <v>10.637999999999975</v>
      </c>
      <c r="T589" s="304">
        <f t="shared" ca="1" si="262"/>
        <v>104.35877999999975</v>
      </c>
      <c r="U589" s="311">
        <f t="shared" ca="1" si="263"/>
        <v>0</v>
      </c>
      <c r="V589" s="306">
        <f t="shared" ca="1" si="264"/>
        <v>1.0213282463287094</v>
      </c>
      <c r="W589" s="304">
        <f t="shared" ca="1" si="265"/>
        <v>18.468903187958521</v>
      </c>
      <c r="Y589" s="314" t="str">
        <f t="shared" ca="1" si="283"/>
        <v/>
      </c>
      <c r="Z589" s="315" t="str">
        <f t="shared" ca="1" si="284"/>
        <v/>
      </c>
      <c r="AA589" s="316" t="str">
        <f t="shared" ca="1" si="285"/>
        <v/>
      </c>
      <c r="AC589" s="310" t="e">
        <f t="shared" ca="1" si="286"/>
        <v>#N/A</v>
      </c>
      <c r="AD589" s="323" t="e">
        <f t="shared" ca="1" si="287"/>
        <v>#N/A</v>
      </c>
      <c r="AE589" s="324">
        <f t="shared" ca="1" si="266"/>
        <v>1813.3748173639531</v>
      </c>
      <c r="AG589" s="306">
        <f t="shared" ca="1" si="288"/>
        <v>-11.277533120920223</v>
      </c>
      <c r="AH589" s="304">
        <f t="shared" ca="1" si="289"/>
        <v>-1.7971362769623507</v>
      </c>
    </row>
    <row r="590" spans="1:34" x14ac:dyDescent="0.25">
      <c r="A590" s="347">
        <f t="shared" ca="1" si="267"/>
        <v>0.1</v>
      </c>
      <c r="B590" s="304">
        <f t="shared" ca="1" si="268"/>
        <v>13.599999999999907</v>
      </c>
      <c r="D590" s="306">
        <f t="shared" ca="1" si="269"/>
        <v>-0.45266062308225846</v>
      </c>
      <c r="E590" s="307">
        <f t="shared" ca="1" si="270"/>
        <v>-11.486075818956051</v>
      </c>
      <c r="F590" s="304">
        <f t="shared" ca="1" si="271"/>
        <v>11.494991925116613</v>
      </c>
      <c r="G590" s="306">
        <f t="shared" ca="1" si="272"/>
        <v>17.153030607582885</v>
      </c>
      <c r="H590" s="307">
        <f t="shared" ca="1" si="273"/>
        <v>62.531879974890622</v>
      </c>
      <c r="I590" s="304">
        <f t="shared" ca="1" si="274"/>
        <v>64.841826564485373</v>
      </c>
      <c r="J590" s="306">
        <f t="shared" ca="1" si="275"/>
        <v>266.04011443630588</v>
      </c>
      <c r="K590" s="307">
        <f t="shared" ca="1" si="276"/>
        <v>1819.6854357405368</v>
      </c>
      <c r="L590" s="304">
        <f t="shared" ca="1" si="261"/>
        <v>1839.0302954371116</v>
      </c>
      <c r="M590" s="306">
        <f t="shared" ca="1" si="277"/>
        <v>1.3030730459413482</v>
      </c>
      <c r="N590" s="304">
        <f t="shared" ca="1" si="278"/>
        <v>74.660585929696083</v>
      </c>
      <c r="P590" s="310">
        <f t="shared" ca="1" si="279"/>
        <v>23</v>
      </c>
      <c r="Q590" s="304">
        <f t="shared" ca="1" si="280"/>
        <v>0</v>
      </c>
      <c r="R590" s="306">
        <f t="shared" ca="1" si="281"/>
        <v>0</v>
      </c>
      <c r="S590" s="307">
        <f t="shared" ca="1" si="282"/>
        <v>10.637999999999975</v>
      </c>
      <c r="T590" s="304">
        <f t="shared" ca="1" si="262"/>
        <v>104.35877999999975</v>
      </c>
      <c r="U590" s="311">
        <f t="shared" ca="1" si="263"/>
        <v>0</v>
      </c>
      <c r="V590" s="306">
        <f t="shared" ca="1" si="264"/>
        <v>1.0206785705873764</v>
      </c>
      <c r="W590" s="304">
        <f t="shared" ca="1" si="265"/>
        <v>17.835593376616806</v>
      </c>
      <c r="Y590" s="314" t="str">
        <f t="shared" ca="1" si="283"/>
        <v/>
      </c>
      <c r="Z590" s="315" t="str">
        <f t="shared" ca="1" si="284"/>
        <v/>
      </c>
      <c r="AA590" s="316" t="str">
        <f t="shared" ca="1" si="285"/>
        <v/>
      </c>
      <c r="AC590" s="310" t="e">
        <f t="shared" ca="1" si="286"/>
        <v>#N/A</v>
      </c>
      <c r="AD590" s="323" t="e">
        <f t="shared" ca="1" si="287"/>
        <v>#N/A</v>
      </c>
      <c r="AE590" s="324">
        <f t="shared" ca="1" si="266"/>
        <v>1819.6854357405368</v>
      </c>
      <c r="AG590" s="306">
        <f t="shared" ca="1" si="288"/>
        <v>-11.206813936675653</v>
      </c>
      <c r="AH590" s="304">
        <f t="shared" ca="1" si="289"/>
        <v>-1.7361255111824181</v>
      </c>
    </row>
    <row r="591" spans="1:34" x14ac:dyDescent="0.25">
      <c r="A591" s="347">
        <f t="shared" ca="1" si="267"/>
        <v>0.1</v>
      </c>
      <c r="B591" s="304">
        <f t="shared" ca="1" si="268"/>
        <v>13.699999999999907</v>
      </c>
      <c r="D591" s="306">
        <f t="shared" ca="1" si="269"/>
        <v>-0.44351999011448678</v>
      </c>
      <c r="E591" s="307">
        <f t="shared" ca="1" si="270"/>
        <v>-11.42686523057</v>
      </c>
      <c r="F591" s="304">
        <f t="shared" ca="1" si="271"/>
        <v>11.435469337952016</v>
      </c>
      <c r="G591" s="306">
        <f t="shared" ca="1" si="272"/>
        <v>17.108678608571434</v>
      </c>
      <c r="H591" s="307">
        <f t="shared" ca="1" si="273"/>
        <v>61.38919345183362</v>
      </c>
      <c r="I591" s="304">
        <f t="shared" ca="1" si="274"/>
        <v>63.728643139470982</v>
      </c>
      <c r="J591" s="306">
        <f t="shared" ca="1" si="275"/>
        <v>267.75319989711357</v>
      </c>
      <c r="K591" s="307">
        <f t="shared" ca="1" si="276"/>
        <v>1825.881489411873</v>
      </c>
      <c r="L591" s="304">
        <f t="shared" ca="1" si="261"/>
        <v>1845.4091658578222</v>
      </c>
      <c r="M591" s="306">
        <f t="shared" ca="1" si="277"/>
        <v>1.2990009204049715</v>
      </c>
      <c r="N591" s="304">
        <f t="shared" ca="1" si="278"/>
        <v>74.427270322814252</v>
      </c>
      <c r="P591" s="310">
        <f t="shared" ca="1" si="279"/>
        <v>23</v>
      </c>
      <c r="Q591" s="304">
        <f t="shared" ca="1" si="280"/>
        <v>0</v>
      </c>
      <c r="R591" s="306">
        <f t="shared" ca="1" si="281"/>
        <v>0</v>
      </c>
      <c r="S591" s="307">
        <f t="shared" ca="1" si="282"/>
        <v>10.637999999999975</v>
      </c>
      <c r="T591" s="304">
        <f t="shared" ca="1" si="262"/>
        <v>104.35877999999975</v>
      </c>
      <c r="U591" s="311">
        <f t="shared" ca="1" si="263"/>
        <v>0</v>
      </c>
      <c r="V591" s="306">
        <f t="shared" ca="1" si="264"/>
        <v>1.0200410547574346</v>
      </c>
      <c r="W591" s="304">
        <f t="shared" ca="1" si="265"/>
        <v>17.21769779722602</v>
      </c>
      <c r="Y591" s="314" t="str">
        <f t="shared" ca="1" si="283"/>
        <v/>
      </c>
      <c r="Z591" s="315" t="str">
        <f t="shared" ca="1" si="284"/>
        <v/>
      </c>
      <c r="AA591" s="316" t="str">
        <f t="shared" ca="1" si="285"/>
        <v/>
      </c>
      <c r="AC591" s="310" t="e">
        <f t="shared" ca="1" si="286"/>
        <v>#N/A</v>
      </c>
      <c r="AD591" s="323" t="e">
        <f t="shared" ca="1" si="287"/>
        <v>#N/A</v>
      </c>
      <c r="AE591" s="324">
        <f t="shared" ca="1" si="266"/>
        <v>1825.881489411873</v>
      </c>
      <c r="AG591" s="306">
        <f t="shared" ca="1" si="288"/>
        <v>-11.137118050408118</v>
      </c>
      <c r="AH591" s="304">
        <f t="shared" ca="1" si="289"/>
        <v>-1.6765927219981998</v>
      </c>
    </row>
    <row r="592" spans="1:34" x14ac:dyDescent="0.25">
      <c r="A592" s="347">
        <f t="shared" ca="1" si="267"/>
        <v>0.1</v>
      </c>
      <c r="B592" s="304">
        <f t="shared" ca="1" si="268"/>
        <v>13.799999999999907</v>
      </c>
      <c r="D592" s="306">
        <f t="shared" ca="1" si="269"/>
        <v>-0.43450711363862415</v>
      </c>
      <c r="E592" s="307">
        <f t="shared" ca="1" si="270"/>
        <v>-11.369094180540376</v>
      </c>
      <c r="F592" s="304">
        <f t="shared" ca="1" si="271"/>
        <v>11.377394205959448</v>
      </c>
      <c r="G592" s="306">
        <f t="shared" ca="1" si="272"/>
        <v>17.065227897207571</v>
      </c>
      <c r="H592" s="307">
        <f t="shared" ca="1" si="273"/>
        <v>60.252284033779581</v>
      </c>
      <c r="I592" s="304">
        <f t="shared" ca="1" si="274"/>
        <v>62.622358103722675</v>
      </c>
      <c r="J592" s="306">
        <f t="shared" ca="1" si="275"/>
        <v>269.46189522240252</v>
      </c>
      <c r="K592" s="307">
        <f t="shared" ca="1" si="276"/>
        <v>1831.9635632861537</v>
      </c>
      <c r="L592" s="304">
        <f t="shared" ca="1" si="261"/>
        <v>1851.6749742287252</v>
      </c>
      <c r="M592" s="306">
        <f t="shared" ca="1" si="277"/>
        <v>1.2947953717059564</v>
      </c>
      <c r="N592" s="304">
        <f t="shared" ca="1" si="278"/>
        <v>74.186310131823944</v>
      </c>
      <c r="P592" s="310">
        <f t="shared" ca="1" si="279"/>
        <v>23</v>
      </c>
      <c r="Q592" s="304">
        <f t="shared" ca="1" si="280"/>
        <v>0</v>
      </c>
      <c r="R592" s="306">
        <f t="shared" ca="1" si="281"/>
        <v>0</v>
      </c>
      <c r="S592" s="307">
        <f t="shared" ca="1" si="282"/>
        <v>10.637999999999975</v>
      </c>
      <c r="T592" s="304">
        <f t="shared" ca="1" si="262"/>
        <v>104.35877999999975</v>
      </c>
      <c r="U592" s="311">
        <f t="shared" ca="1" si="263"/>
        <v>0</v>
      </c>
      <c r="V592" s="306">
        <f t="shared" ca="1" si="264"/>
        <v>1.0194156183185066</v>
      </c>
      <c r="W592" s="304">
        <f t="shared" ca="1" si="265"/>
        <v>16.614918034891907</v>
      </c>
      <c r="Y592" s="314" t="str">
        <f t="shared" ca="1" si="283"/>
        <v/>
      </c>
      <c r="Z592" s="315" t="str">
        <f t="shared" ca="1" si="284"/>
        <v/>
      </c>
      <c r="AA592" s="316" t="str">
        <f t="shared" ca="1" si="285"/>
        <v/>
      </c>
      <c r="AC592" s="310" t="e">
        <f t="shared" ca="1" si="286"/>
        <v>#N/A</v>
      </c>
      <c r="AD592" s="323" t="e">
        <f t="shared" ca="1" si="287"/>
        <v>#N/A</v>
      </c>
      <c r="AE592" s="324">
        <f t="shared" ca="1" si="266"/>
        <v>1831.9635632861537</v>
      </c>
      <c r="AG592" s="306">
        <f t="shared" ca="1" si="288"/>
        <v>-11.068388244795536</v>
      </c>
      <c r="AH592" s="304">
        <f t="shared" ca="1" si="289"/>
        <v>-1.6185089111887629</v>
      </c>
    </row>
    <row r="593" spans="1:34" x14ac:dyDescent="0.25">
      <c r="A593" s="347">
        <f t="shared" ca="1" si="267"/>
        <v>0.1</v>
      </c>
      <c r="B593" s="304">
        <f t="shared" ca="1" si="268"/>
        <v>13.899999999999906</v>
      </c>
      <c r="D593" s="306">
        <f t="shared" ca="1" si="269"/>
        <v>-0.425618887529291</v>
      </c>
      <c r="E593" s="307">
        <f t="shared" ca="1" si="270"/>
        <v>-11.312734698653067</v>
      </c>
      <c r="F593" s="304">
        <f t="shared" ca="1" si="271"/>
        <v>11.320738394624742</v>
      </c>
      <c r="G593" s="306">
        <f t="shared" ca="1" si="272"/>
        <v>17.022666008454642</v>
      </c>
      <c r="H593" s="307">
        <f t="shared" ca="1" si="273"/>
        <v>59.121010563914275</v>
      </c>
      <c r="I593" s="304">
        <f t="shared" ca="1" si="274"/>
        <v>61.522882313281293</v>
      </c>
      <c r="J593" s="306">
        <f t="shared" ca="1" si="275"/>
        <v>271.16628991768562</v>
      </c>
      <c r="K593" s="307">
        <f t="shared" ca="1" si="276"/>
        <v>1837.9322280160384</v>
      </c>
      <c r="L593" s="304">
        <f t="shared" ca="1" si="261"/>
        <v>1857.8283105733212</v>
      </c>
      <c r="M593" s="306">
        <f t="shared" ca="1" si="277"/>
        <v>1.2904501056257718</v>
      </c>
      <c r="N593" s="304">
        <f t="shared" ca="1" si="278"/>
        <v>73.937344724568021</v>
      </c>
      <c r="P593" s="310">
        <f t="shared" ca="1" si="279"/>
        <v>23</v>
      </c>
      <c r="Q593" s="304">
        <f t="shared" ca="1" si="280"/>
        <v>0</v>
      </c>
      <c r="R593" s="306">
        <f t="shared" ca="1" si="281"/>
        <v>0</v>
      </c>
      <c r="S593" s="307">
        <f t="shared" ca="1" si="282"/>
        <v>10.637999999999975</v>
      </c>
      <c r="T593" s="304">
        <f t="shared" ca="1" si="262"/>
        <v>104.35877999999975</v>
      </c>
      <c r="U593" s="311">
        <f t="shared" ca="1" si="263"/>
        <v>0</v>
      </c>
      <c r="V593" s="306">
        <f t="shared" ca="1" si="264"/>
        <v>1.0188021827514215</v>
      </c>
      <c r="W593" s="304">
        <f t="shared" ca="1" si="265"/>
        <v>16.026965408652057</v>
      </c>
      <c r="Y593" s="314" t="str">
        <f t="shared" ca="1" si="283"/>
        <v/>
      </c>
      <c r="Z593" s="315" t="str">
        <f t="shared" ca="1" si="284"/>
        <v/>
      </c>
      <c r="AA593" s="316" t="str">
        <f t="shared" ca="1" si="285"/>
        <v/>
      </c>
      <c r="AC593" s="310" t="e">
        <f t="shared" ca="1" si="286"/>
        <v>#N/A</v>
      </c>
      <c r="AD593" s="323" t="e">
        <f t="shared" ca="1" si="287"/>
        <v>#N/A</v>
      </c>
      <c r="AE593" s="324">
        <f t="shared" ca="1" si="266"/>
        <v>1837.9322280160384</v>
      </c>
      <c r="AG593" s="306">
        <f t="shared" ca="1" si="288"/>
        <v>-11.000566066740468</v>
      </c>
      <c r="AH593" s="304">
        <f t="shared" ca="1" si="289"/>
        <v>-1.5618460269685981</v>
      </c>
    </row>
    <row r="594" spans="1:34" x14ac:dyDescent="0.25">
      <c r="A594" s="347">
        <f t="shared" ca="1" si="267"/>
        <v>0.1</v>
      </c>
      <c r="B594" s="304">
        <f t="shared" ca="1" si="268"/>
        <v>13.999999999999906</v>
      </c>
      <c r="D594" s="306">
        <f t="shared" ca="1" si="269"/>
        <v>-0.41685231534740291</v>
      </c>
      <c r="E594" s="307">
        <f t="shared" ca="1" si="270"/>
        <v>-11.257759717955205</v>
      </c>
      <c r="F594" s="304">
        <f t="shared" ca="1" si="271"/>
        <v>11.265474677971866</v>
      </c>
      <c r="G594" s="306">
        <f t="shared" ca="1" si="272"/>
        <v>16.980980776919903</v>
      </c>
      <c r="H594" s="307">
        <f t="shared" ca="1" si="273"/>
        <v>57.995234592118756</v>
      </c>
      <c r="I594" s="304">
        <f t="shared" ca="1" si="274"/>
        <v>60.430132744691299</v>
      </c>
      <c r="J594" s="306">
        <f t="shared" ca="1" si="275"/>
        <v>272.86647225695435</v>
      </c>
      <c r="K594" s="307">
        <f t="shared" ca="1" si="276"/>
        <v>1843.7880402738401</v>
      </c>
      <c r="L594" s="304">
        <f t="shared" ca="1" si="261"/>
        <v>1863.869751119644</v>
      </c>
      <c r="M594" s="306">
        <f t="shared" ca="1" si="277"/>
        <v>1.2859584358068785</v>
      </c>
      <c r="N594" s="304">
        <f t="shared" ca="1" si="278"/>
        <v>73.679991000979143</v>
      </c>
      <c r="P594" s="310">
        <f t="shared" ca="1" si="279"/>
        <v>23</v>
      </c>
      <c r="Q594" s="304">
        <f t="shared" ca="1" si="280"/>
        <v>0</v>
      </c>
      <c r="R594" s="306">
        <f t="shared" ca="1" si="281"/>
        <v>0</v>
      </c>
      <c r="S594" s="307">
        <f t="shared" ca="1" si="282"/>
        <v>10.637999999999975</v>
      </c>
      <c r="T594" s="304">
        <f t="shared" ca="1" si="262"/>
        <v>104.35877999999975</v>
      </c>
      <c r="U594" s="311">
        <f t="shared" ca="1" si="263"/>
        <v>0</v>
      </c>
      <c r="V594" s="306">
        <f t="shared" ca="1" si="264"/>
        <v>1.0182006714978966</v>
      </c>
      <c r="W594" s="304">
        <f t="shared" ca="1" si="265"/>
        <v>15.453560651420183</v>
      </c>
      <c r="Y594" s="314" t="str">
        <f t="shared" ca="1" si="283"/>
        <v/>
      </c>
      <c r="Z594" s="315" t="str">
        <f t="shared" ca="1" si="284"/>
        <v/>
      </c>
      <c r="AA594" s="316" t="str">
        <f t="shared" ca="1" si="285"/>
        <v/>
      </c>
      <c r="AC594" s="310">
        <f t="shared" ca="1" si="286"/>
        <v>13.999999999999906</v>
      </c>
      <c r="AD594" s="323">
        <f t="shared" ca="1" si="287"/>
        <v>272.86647225695435</v>
      </c>
      <c r="AE594" s="324">
        <f t="shared" ca="1" si="266"/>
        <v>1843.7880402738401</v>
      </c>
      <c r="AG594" s="306">
        <f t="shared" ca="1" si="288"/>
        <v>-10.933591594830657</v>
      </c>
      <c r="AH594" s="304">
        <f t="shared" ca="1" si="289"/>
        <v>-1.5065769325674088</v>
      </c>
    </row>
    <row r="595" spans="1:34" x14ac:dyDescent="0.25">
      <c r="A595" s="347">
        <f t="shared" ca="1" si="267"/>
        <v>0.1</v>
      </c>
      <c r="B595" s="304">
        <f t="shared" ca="1" si="268"/>
        <v>14.099999999999905</v>
      </c>
      <c r="D595" s="306">
        <f t="shared" ca="1" si="269"/>
        <v>-0.40820450852929396</v>
      </c>
      <c r="E595" s="307">
        <f t="shared" ca="1" si="270"/>
        <v>-11.204143044192943</v>
      </c>
      <c r="F595" s="304">
        <f t="shared" ca="1" si="271"/>
        <v>11.211576707828421</v>
      </c>
      <c r="G595" s="306">
        <f t="shared" ca="1" si="272"/>
        <v>16.940160326066973</v>
      </c>
      <c r="H595" s="307">
        <f t="shared" ca="1" si="273"/>
        <v>56.874820287699464</v>
      </c>
      <c r="I595" s="304">
        <f t="shared" ca="1" si="274"/>
        <v>59.344032679208482</v>
      </c>
      <c r="J595" s="306">
        <f t="shared" ca="1" si="275"/>
        <v>274.56252931210372</v>
      </c>
      <c r="K595" s="307">
        <f t="shared" ca="1" si="276"/>
        <v>1849.5315430178309</v>
      </c>
      <c r="L595" s="304">
        <f t="shared" ca="1" si="261"/>
        <v>1869.7998585731518</v>
      </c>
      <c r="M595" s="306">
        <f t="shared" ca="1" si="277"/>
        <v>1.2813132537887273</v>
      </c>
      <c r="N595" s="304">
        <f t="shared" ca="1" si="278"/>
        <v>73.413841676269016</v>
      </c>
      <c r="P595" s="310">
        <f t="shared" ca="1" si="279"/>
        <v>23</v>
      </c>
      <c r="Q595" s="304">
        <f t="shared" ca="1" si="280"/>
        <v>0</v>
      </c>
      <c r="R595" s="306">
        <f t="shared" ca="1" si="281"/>
        <v>0</v>
      </c>
      <c r="S595" s="307">
        <f t="shared" ca="1" si="282"/>
        <v>10.637999999999975</v>
      </c>
      <c r="T595" s="304">
        <f t="shared" ca="1" si="262"/>
        <v>104.35877999999975</v>
      </c>
      <c r="U595" s="311">
        <f t="shared" ca="1" si="263"/>
        <v>0</v>
      </c>
      <c r="V595" s="306">
        <f t="shared" ca="1" si="264"/>
        <v>1.017611009921551</v>
      </c>
      <c r="W595" s="304">
        <f t="shared" ca="1" si="265"/>
        <v>14.894433603469947</v>
      </c>
      <c r="Y595" s="314" t="str">
        <f t="shared" ca="1" si="283"/>
        <v/>
      </c>
      <c r="Z595" s="315" t="str">
        <f t="shared" ca="1" si="284"/>
        <v/>
      </c>
      <c r="AA595" s="316" t="str">
        <f t="shared" ca="1" si="285"/>
        <v/>
      </c>
      <c r="AC595" s="310" t="e">
        <f t="shared" ca="1" si="286"/>
        <v>#N/A</v>
      </c>
      <c r="AD595" s="323" t="e">
        <f t="shared" ca="1" si="287"/>
        <v>#N/A</v>
      </c>
      <c r="AE595" s="324">
        <f t="shared" ca="1" si="266"/>
        <v>1849.5315430178309</v>
      </c>
      <c r="AG595" s="306">
        <f t="shared" ca="1" si="288"/>
        <v>-10.867403186727321</v>
      </c>
      <c r="AH595" s="304">
        <f t="shared" ca="1" si="289"/>
        <v>-1.4526753761440327</v>
      </c>
    </row>
    <row r="596" spans="1:34" x14ac:dyDescent="0.25">
      <c r="A596" s="347">
        <f t="shared" ca="1" si="267"/>
        <v>0.1</v>
      </c>
      <c r="B596" s="304">
        <f t="shared" ca="1" si="268"/>
        <v>14.199999999999905</v>
      </c>
      <c r="D596" s="306">
        <f t="shared" ca="1" si="269"/>
        <v>-0.39967268485311136</v>
      </c>
      <c r="E596" s="307">
        <f t="shared" ca="1" si="270"/>
        <v>-11.151859326440071</v>
      </c>
      <c r="F596" s="304">
        <f t="shared" ca="1" si="271"/>
        <v>11.159018984289171</v>
      </c>
      <c r="G596" s="306">
        <f t="shared" ca="1" si="272"/>
        <v>16.900193057581664</v>
      </c>
      <c r="H596" s="307">
        <f t="shared" ca="1" si="273"/>
        <v>55.759634355055454</v>
      </c>
      <c r="I596" s="304">
        <f t="shared" ca="1" si="274"/>
        <v>58.264511915856737</v>
      </c>
      <c r="J596" s="306">
        <f t="shared" ca="1" si="275"/>
        <v>276.25454698128613</v>
      </c>
      <c r="K596" s="307">
        <f t="shared" ca="1" si="276"/>
        <v>1855.1632657499686</v>
      </c>
      <c r="L596" s="304">
        <f t="shared" ca="1" si="261"/>
        <v>1875.6191823810941</v>
      </c>
      <c r="M596" s="306">
        <f t="shared" ca="1" si="277"/>
        <v>1.2765069963659437</v>
      </c>
      <c r="N596" s="304">
        <f t="shared" ca="1" si="278"/>
        <v>73.138463410690093</v>
      </c>
      <c r="P596" s="310">
        <f t="shared" ca="1" si="279"/>
        <v>23</v>
      </c>
      <c r="Q596" s="304">
        <f t="shared" ca="1" si="280"/>
        <v>0</v>
      </c>
      <c r="R596" s="306">
        <f t="shared" ca="1" si="281"/>
        <v>0</v>
      </c>
      <c r="S596" s="307">
        <f t="shared" ca="1" si="282"/>
        <v>10.637999999999975</v>
      </c>
      <c r="T596" s="304">
        <f t="shared" ca="1" si="262"/>
        <v>104.35877999999975</v>
      </c>
      <c r="U596" s="311">
        <f t="shared" ca="1" si="263"/>
        <v>0</v>
      </c>
      <c r="V596" s="306">
        <f t="shared" ca="1" si="264"/>
        <v>1.0170331252702058</v>
      </c>
      <c r="W596" s="304">
        <f t="shared" ca="1" si="265"/>
        <v>14.3493229188398</v>
      </c>
      <c r="Y596" s="314" t="str">
        <f t="shared" ca="1" si="283"/>
        <v/>
      </c>
      <c r="Z596" s="315" t="str">
        <f t="shared" ca="1" si="284"/>
        <v/>
      </c>
      <c r="AA596" s="316" t="str">
        <f t="shared" ca="1" si="285"/>
        <v/>
      </c>
      <c r="AC596" s="310" t="e">
        <f t="shared" ca="1" si="286"/>
        <v>#N/A</v>
      </c>
      <c r="AD596" s="323" t="e">
        <f t="shared" ca="1" si="287"/>
        <v>#N/A</v>
      </c>
      <c r="AE596" s="324">
        <f t="shared" ca="1" si="266"/>
        <v>1855.1632657499686</v>
      </c>
      <c r="AG596" s="306">
        <f t="shared" ca="1" si="288"/>
        <v>-10.801937203855282</v>
      </c>
      <c r="AH596" s="304">
        <f t="shared" ca="1" si="289"/>
        <v>-1.4001159619731136</v>
      </c>
    </row>
    <row r="597" spans="1:34" x14ac:dyDescent="0.25">
      <c r="A597" s="347">
        <f t="shared" ca="1" si="267"/>
        <v>0.1</v>
      </c>
      <c r="B597" s="304">
        <f t="shared" ca="1" si="268"/>
        <v>14.299999999999905</v>
      </c>
      <c r="D597" s="306">
        <f t="shared" ca="1" si="269"/>
        <v>-0.39125416719188211</v>
      </c>
      <c r="E597" s="307">
        <f t="shared" ca="1" si="270"/>
        <v>-11.100884028849839</v>
      </c>
      <c r="F597" s="304">
        <f t="shared" ca="1" si="271"/>
        <v>11.107776827309705</v>
      </c>
      <c r="G597" s="306">
        <f t="shared" ca="1" si="272"/>
        <v>16.861067640862476</v>
      </c>
      <c r="H597" s="307">
        <f t="shared" ca="1" si="273"/>
        <v>54.64954595217047</v>
      </c>
      <c r="I597" s="304">
        <f t="shared" ca="1" si="274"/>
        <v>57.191507016060797</v>
      </c>
      <c r="J597" s="306">
        <f t="shared" ca="1" si="275"/>
        <v>277.94261001620833</v>
      </c>
      <c r="K597" s="307">
        <f t="shared" ca="1" si="276"/>
        <v>1860.6837247653298</v>
      </c>
      <c r="L597" s="304">
        <f t="shared" ca="1" si="261"/>
        <v>1881.3282589886337</v>
      </c>
      <c r="M597" s="306">
        <f t="shared" ca="1" si="277"/>
        <v>1.2715316100001499</v>
      </c>
      <c r="N597" s="304">
        <f t="shared" ca="1" si="278"/>
        <v>72.853394770483177</v>
      </c>
      <c r="P597" s="310">
        <f t="shared" ca="1" si="279"/>
        <v>23</v>
      </c>
      <c r="Q597" s="304">
        <f t="shared" ca="1" si="280"/>
        <v>0</v>
      </c>
      <c r="R597" s="306">
        <f t="shared" ca="1" si="281"/>
        <v>0</v>
      </c>
      <c r="S597" s="307">
        <f t="shared" ca="1" si="282"/>
        <v>10.637999999999975</v>
      </c>
      <c r="T597" s="304">
        <f t="shared" ca="1" si="262"/>
        <v>104.35877999999975</v>
      </c>
      <c r="U597" s="311">
        <f t="shared" ca="1" si="263"/>
        <v>0</v>
      </c>
      <c r="V597" s="306">
        <f t="shared" ca="1" si="264"/>
        <v>1.0164669466394287</v>
      </c>
      <c r="W597" s="304">
        <f t="shared" ca="1" si="265"/>
        <v>13.81797578407247</v>
      </c>
      <c r="Y597" s="314" t="str">
        <f t="shared" ca="1" si="283"/>
        <v/>
      </c>
      <c r="Z597" s="315" t="str">
        <f t="shared" ca="1" si="284"/>
        <v/>
      </c>
      <c r="AA597" s="316" t="str">
        <f t="shared" ca="1" si="285"/>
        <v/>
      </c>
      <c r="AC597" s="310" t="e">
        <f t="shared" ca="1" si="286"/>
        <v>#N/A</v>
      </c>
      <c r="AD597" s="323" t="e">
        <f t="shared" ca="1" si="287"/>
        <v>#N/A</v>
      </c>
      <c r="AE597" s="324">
        <f t="shared" ca="1" si="266"/>
        <v>1860.6837247653298</v>
      </c>
      <c r="AG597" s="306">
        <f t="shared" ca="1" si="288"/>
        <v>-10.73712771043418</v>
      </c>
      <c r="AH597" s="304">
        <f t="shared" ca="1" si="289"/>
        <v>-1.3488741228463841</v>
      </c>
    </row>
    <row r="598" spans="1:34" x14ac:dyDescent="0.25">
      <c r="A598" s="347">
        <f t="shared" ca="1" si="267"/>
        <v>0.1</v>
      </c>
      <c r="B598" s="304">
        <f t="shared" ca="1" si="268"/>
        <v>14.399999999999904</v>
      </c>
      <c r="D598" s="306">
        <f t="shared" ca="1" si="269"/>
        <v>-0.38294638256488378</v>
      </c>
      <c r="E598" s="307">
        <f t="shared" ca="1" si="270"/>
        <v>-11.051193403463897</v>
      </c>
      <c r="F598" s="304">
        <f t="shared" ca="1" si="271"/>
        <v>11.05782634936376</v>
      </c>
      <c r="G598" s="306">
        <f t="shared" ca="1" si="272"/>
        <v>16.822773002605988</v>
      </c>
      <c r="H598" s="307">
        <f t="shared" ca="1" si="273"/>
        <v>53.544426611824079</v>
      </c>
      <c r="I598" s="304">
        <f t="shared" ca="1" si="274"/>
        <v>56.124961582937615</v>
      </c>
      <c r="J598" s="306">
        <f t="shared" ca="1" si="275"/>
        <v>279.62680204838176</v>
      </c>
      <c r="K598" s="307">
        <f t="shared" ca="1" si="276"/>
        <v>1866.0934233935295</v>
      </c>
      <c r="L598" s="304">
        <f t="shared" ca="1" si="261"/>
        <v>1886.9276120870104</v>
      </c>
      <c r="M598" s="306">
        <f t="shared" ca="1" si="277"/>
        <v>1.26637851198797</v>
      </c>
      <c r="N598" s="304">
        <f t="shared" ca="1" si="278"/>
        <v>72.558144002968007</v>
      </c>
      <c r="P598" s="310">
        <f t="shared" ca="1" si="279"/>
        <v>23</v>
      </c>
      <c r="Q598" s="304">
        <f t="shared" ca="1" si="280"/>
        <v>0</v>
      </c>
      <c r="R598" s="306">
        <f t="shared" ca="1" si="281"/>
        <v>0</v>
      </c>
      <c r="S598" s="307">
        <f t="shared" ca="1" si="282"/>
        <v>10.637999999999975</v>
      </c>
      <c r="T598" s="304">
        <f t="shared" ca="1" si="262"/>
        <v>104.35877999999975</v>
      </c>
      <c r="U598" s="311">
        <f t="shared" ca="1" si="263"/>
        <v>0</v>
      </c>
      <c r="V598" s="306">
        <f t="shared" ca="1" si="264"/>
        <v>1.0159124049372785</v>
      </c>
      <c r="W598" s="304">
        <f t="shared" ca="1" si="265"/>
        <v>13.300147648733333</v>
      </c>
      <c r="Y598" s="314" t="str">
        <f t="shared" ca="1" si="283"/>
        <v/>
      </c>
      <c r="Z598" s="315" t="str">
        <f t="shared" ca="1" si="284"/>
        <v/>
      </c>
      <c r="AA598" s="316" t="str">
        <f t="shared" ca="1" si="285"/>
        <v/>
      </c>
      <c r="AC598" s="310" t="e">
        <f t="shared" ca="1" si="286"/>
        <v>#N/A</v>
      </c>
      <c r="AD598" s="323" t="e">
        <f t="shared" ca="1" si="287"/>
        <v>#N/A</v>
      </c>
      <c r="AE598" s="324">
        <f t="shared" ca="1" si="266"/>
        <v>1866.0934233935295</v>
      </c>
      <c r="AG598" s="306">
        <f t="shared" ca="1" si="288"/>
        <v>-10.672906143507603</v>
      </c>
      <c r="AH598" s="304">
        <f t="shared" ca="1" si="289"/>
        <v>-1.298926093633437</v>
      </c>
    </row>
    <row r="599" spans="1:34" x14ac:dyDescent="0.25">
      <c r="A599" s="347">
        <f t="shared" ca="1" si="267"/>
        <v>0.1</v>
      </c>
      <c r="B599" s="304">
        <f t="shared" ca="1" si="268"/>
        <v>14.499999999999904</v>
      </c>
      <c r="D599" s="306">
        <f t="shared" ca="1" si="269"/>
        <v>-0.37474686150141823</v>
      </c>
      <c r="E599" s="307">
        <f t="shared" ca="1" si="270"/>
        <v>-11.002764464013499</v>
      </c>
      <c r="F599" s="304">
        <f t="shared" ca="1" si="271"/>
        <v>11.009144429099086</v>
      </c>
      <c r="G599" s="306">
        <f t="shared" ca="1" si="272"/>
        <v>16.785298316455847</v>
      </c>
      <c r="H599" s="307">
        <f t="shared" ca="1" si="273"/>
        <v>52.444150165422727</v>
      </c>
      <c r="I599" s="304">
        <f t="shared" ca="1" si="274"/>
        <v>55.064826578731946</v>
      </c>
      <c r="J599" s="306">
        <f t="shared" ca="1" si="275"/>
        <v>281.30720561433486</v>
      </c>
      <c r="K599" s="307">
        <f t="shared" ca="1" si="276"/>
        <v>1871.3928522323918</v>
      </c>
      <c r="L599" s="304">
        <f t="shared" ca="1" si="261"/>
        <v>1892.4177528540129</v>
      </c>
      <c r="M599" s="306">
        <f t="shared" ca="1" si="277"/>
        <v>1.2610385480557473</v>
      </c>
      <c r="N599" s="304">
        <f t="shared" ca="1" si="278"/>
        <v>72.252186606899571</v>
      </c>
      <c r="P599" s="310">
        <f t="shared" ca="1" si="279"/>
        <v>23</v>
      </c>
      <c r="Q599" s="304">
        <f t="shared" ca="1" si="280"/>
        <v>0</v>
      </c>
      <c r="R599" s="306">
        <f t="shared" ca="1" si="281"/>
        <v>0</v>
      </c>
      <c r="S599" s="307">
        <f t="shared" ca="1" si="282"/>
        <v>10.637999999999975</v>
      </c>
      <c r="T599" s="304">
        <f t="shared" ca="1" si="262"/>
        <v>104.35877999999975</v>
      </c>
      <c r="U599" s="311">
        <f t="shared" ca="1" si="263"/>
        <v>0</v>
      </c>
      <c r="V599" s="306">
        <f t="shared" ca="1" si="264"/>
        <v>1.0153694328502092</v>
      </c>
      <c r="W599" s="304">
        <f t="shared" ca="1" si="265"/>
        <v>12.795601967180383</v>
      </c>
      <c r="Y599" s="314" t="str">
        <f t="shared" ca="1" si="283"/>
        <v/>
      </c>
      <c r="Z599" s="315" t="str">
        <f t="shared" ca="1" si="284"/>
        <v/>
      </c>
      <c r="AA599" s="316" t="str">
        <f t="shared" ca="1" si="285"/>
        <v/>
      </c>
      <c r="AC599" s="310" t="e">
        <f t="shared" ca="1" si="286"/>
        <v>#N/A</v>
      </c>
      <c r="AD599" s="323" t="e">
        <f t="shared" ca="1" si="287"/>
        <v>#N/A</v>
      </c>
      <c r="AE599" s="324">
        <f t="shared" ca="1" si="266"/>
        <v>1871.3928522323918</v>
      </c>
      <c r="AG599" s="306">
        <f t="shared" ca="1" si="288"/>
        <v>-10.6092009501892</v>
      </c>
      <c r="AH599" s="304">
        <f t="shared" ca="1" si="289"/>
        <v>-1.2502488859497427</v>
      </c>
    </row>
    <row r="600" spans="1:34" x14ac:dyDescent="0.25">
      <c r="A600" s="347">
        <f t="shared" ca="1" si="267"/>
        <v>0.1</v>
      </c>
      <c r="B600" s="304">
        <f t="shared" ca="1" si="268"/>
        <v>14.599999999999904</v>
      </c>
      <c r="D600" s="306">
        <f t="shared" ca="1" si="269"/>
        <v>-0.36665323773381936</v>
      </c>
      <c r="E600" s="307">
        <f t="shared" ca="1" si="270"/>
        <v>-10.955574960648716</v>
      </c>
      <c r="F600" s="304">
        <f t="shared" ca="1" si="271"/>
        <v>10.961708685927292</v>
      </c>
      <c r="G600" s="306">
        <f t="shared" ca="1" si="272"/>
        <v>16.748632992682467</v>
      </c>
      <c r="H600" s="307">
        <f t="shared" ca="1" si="273"/>
        <v>51.348592669357856</v>
      </c>
      <c r="I600" s="304">
        <f t="shared" ca="1" si="274"/>
        <v>54.011060684337636</v>
      </c>
      <c r="J600" s="306">
        <f t="shared" ca="1" si="275"/>
        <v>282.98390217979176</v>
      </c>
      <c r="K600" s="307">
        <f t="shared" ca="1" si="276"/>
        <v>1876.5824893741308</v>
      </c>
      <c r="L600" s="304">
        <f t="shared" ca="1" si="261"/>
        <v>1897.7991801870164</v>
      </c>
      <c r="M600" s="306">
        <f t="shared" ca="1" si="277"/>
        <v>1.2555019460160872</v>
      </c>
      <c r="N600" s="304">
        <f t="shared" ca="1" si="278"/>
        <v>71.93496267718352</v>
      </c>
      <c r="P600" s="310">
        <f t="shared" ca="1" si="279"/>
        <v>23</v>
      </c>
      <c r="Q600" s="304">
        <f t="shared" ca="1" si="280"/>
        <v>0</v>
      </c>
      <c r="R600" s="306">
        <f t="shared" ca="1" si="281"/>
        <v>0</v>
      </c>
      <c r="S600" s="307">
        <f t="shared" ca="1" si="282"/>
        <v>10.637999999999975</v>
      </c>
      <c r="T600" s="304">
        <f t="shared" ca="1" si="262"/>
        <v>104.35877999999975</v>
      </c>
      <c r="U600" s="311">
        <f t="shared" ca="1" si="263"/>
        <v>0</v>
      </c>
      <c r="V600" s="306">
        <f t="shared" ca="1" si="264"/>
        <v>1.0148379648100991</v>
      </c>
      <c r="W600" s="304">
        <f t="shared" ca="1" si="265"/>
        <v>12.30410995108554</v>
      </c>
      <c r="Y600" s="314" t="str">
        <f t="shared" ca="1" si="283"/>
        <v/>
      </c>
      <c r="Z600" s="315" t="str">
        <f t="shared" ca="1" si="284"/>
        <v/>
      </c>
      <c r="AA600" s="316" t="str">
        <f t="shared" ca="1" si="285"/>
        <v/>
      </c>
      <c r="AC600" s="310" t="e">
        <f t="shared" ca="1" si="286"/>
        <v>#N/A</v>
      </c>
      <c r="AD600" s="323" t="e">
        <f t="shared" ca="1" si="287"/>
        <v>#N/A</v>
      </c>
      <c r="AE600" s="324">
        <f t="shared" ca="1" si="266"/>
        <v>1876.5824893741308</v>
      </c>
      <c r="AG600" s="306">
        <f t="shared" ca="1" si="288"/>
        <v>-10.545937187844602</v>
      </c>
      <c r="AH600" s="304">
        <f t="shared" ca="1" si="289"/>
        <v>-1.2028202638823475</v>
      </c>
    </row>
    <row r="601" spans="1:34" x14ac:dyDescent="0.25">
      <c r="A601" s="347">
        <f t="shared" ca="1" si="267"/>
        <v>0.1</v>
      </c>
      <c r="B601" s="304">
        <f t="shared" ca="1" si="268"/>
        <v>14.699999999999903</v>
      </c>
      <c r="D601" s="306">
        <f t="shared" ca="1" si="269"/>
        <v>-0.35866324823957657</v>
      </c>
      <c r="E601" s="307">
        <f t="shared" ca="1" si="270"/>
        <v>-10.909603355531713</v>
      </c>
      <c r="F601" s="304">
        <f t="shared" ca="1" si="271"/>
        <v>10.915497455483491</v>
      </c>
      <c r="G601" s="306">
        <f t="shared" ca="1" si="272"/>
        <v>16.71276666785851</v>
      </c>
      <c r="H601" s="307">
        <f t="shared" ca="1" si="273"/>
        <v>50.257632333804686</v>
      </c>
      <c r="I601" s="304">
        <f t="shared" ca="1" si="274"/>
        <v>52.963630705363968</v>
      </c>
      <c r="J601" s="306">
        <f t="shared" ca="1" si="275"/>
        <v>284.65697216281882</v>
      </c>
      <c r="K601" s="307">
        <f t="shared" ca="1" si="276"/>
        <v>1881.6628006242888</v>
      </c>
      <c r="L601" s="304">
        <f t="shared" ca="1" si="261"/>
        <v>1903.0723809288352</v>
      </c>
      <c r="M601" s="306">
        <f t="shared" ca="1" si="277"/>
        <v>1.249758265082237</v>
      </c>
      <c r="N601" s="304">
        <f t="shared" ca="1" si="278"/>
        <v>71.605874000804135</v>
      </c>
      <c r="P601" s="310">
        <f t="shared" ca="1" si="279"/>
        <v>23</v>
      </c>
      <c r="Q601" s="304">
        <f t="shared" ca="1" si="280"/>
        <v>0</v>
      </c>
      <c r="R601" s="306">
        <f t="shared" ca="1" si="281"/>
        <v>0</v>
      </c>
      <c r="S601" s="307">
        <f t="shared" ca="1" si="282"/>
        <v>10.637999999999975</v>
      </c>
      <c r="T601" s="304">
        <f t="shared" ca="1" si="262"/>
        <v>104.35877999999975</v>
      </c>
      <c r="U601" s="311">
        <f t="shared" ca="1" si="263"/>
        <v>0</v>
      </c>
      <c r="V601" s="306">
        <f t="shared" ca="1" si="264"/>
        <v>1.0143179369623601</v>
      </c>
      <c r="W601" s="304">
        <f t="shared" ca="1" si="265"/>
        <v>11.825450332232284</v>
      </c>
      <c r="Y601" s="314" t="str">
        <f t="shared" ca="1" si="283"/>
        <v/>
      </c>
      <c r="Z601" s="315" t="str">
        <f t="shared" ca="1" si="284"/>
        <v/>
      </c>
      <c r="AA601" s="316" t="str">
        <f t="shared" ca="1" si="285"/>
        <v/>
      </c>
      <c r="AC601" s="310" t="e">
        <f t="shared" ca="1" si="286"/>
        <v>#N/A</v>
      </c>
      <c r="AD601" s="323" t="e">
        <f t="shared" ca="1" si="287"/>
        <v>#N/A</v>
      </c>
      <c r="AE601" s="324">
        <f t="shared" ca="1" si="266"/>
        <v>1881.6628006242888</v>
      </c>
      <c r="AG601" s="306">
        <f t="shared" ca="1" si="288"/>
        <v>-10.483036082355158</v>
      </c>
      <c r="AH601" s="304">
        <f t="shared" ca="1" si="289"/>
        <v>-1.1566187207262237</v>
      </c>
    </row>
    <row r="602" spans="1:34" x14ac:dyDescent="0.25">
      <c r="A602" s="347">
        <f t="shared" ca="1" si="267"/>
        <v>0.1</v>
      </c>
      <c r="B602" s="304">
        <f t="shared" ca="1" si="268"/>
        <v>14.799999999999903</v>
      </c>
      <c r="D602" s="306">
        <f t="shared" ca="1" si="269"/>
        <v>-0.35077473365586936</v>
      </c>
      <c r="E602" s="307">
        <f t="shared" ca="1" si="270"/>
        <v>-10.864828799229796</v>
      </c>
      <c r="F602" s="304">
        <f t="shared" ca="1" si="271"/>
        <v>10.870489765891163</v>
      </c>
      <c r="G602" s="306">
        <f t="shared" ca="1" si="272"/>
        <v>16.677689194492924</v>
      </c>
      <c r="H602" s="307">
        <f t="shared" ca="1" si="273"/>
        <v>49.171149453881704</v>
      </c>
      <c r="I602" s="304">
        <f t="shared" ca="1" si="274"/>
        <v>51.922512029793751</v>
      </c>
      <c r="J602" s="306">
        <f t="shared" ca="1" si="275"/>
        <v>286.32649495593637</v>
      </c>
      <c r="K602" s="307">
        <f t="shared" ca="1" si="276"/>
        <v>1886.6342397136732</v>
      </c>
      <c r="L602" s="304">
        <f t="shared" ca="1" si="261"/>
        <v>1908.237830086633</v>
      </c>
      <c r="M602" s="306">
        <f t="shared" ca="1" si="277"/>
        <v>1.2437963403932633</v>
      </c>
      <c r="N602" s="304">
        <f t="shared" ca="1" si="278"/>
        <v>71.264280878351101</v>
      </c>
      <c r="P602" s="310">
        <f t="shared" ca="1" si="279"/>
        <v>23</v>
      </c>
      <c r="Q602" s="304">
        <f t="shared" ca="1" si="280"/>
        <v>0</v>
      </c>
      <c r="R602" s="306">
        <f t="shared" ca="1" si="281"/>
        <v>0</v>
      </c>
      <c r="S602" s="307">
        <f t="shared" ca="1" si="282"/>
        <v>10.637999999999975</v>
      </c>
      <c r="T602" s="304">
        <f t="shared" ca="1" si="262"/>
        <v>104.35877999999975</v>
      </c>
      <c r="U602" s="311">
        <f t="shared" ca="1" si="263"/>
        <v>0</v>
      </c>
      <c r="V602" s="306">
        <f t="shared" ca="1" si="264"/>
        <v>1.0138092871350983</v>
      </c>
      <c r="W602" s="304">
        <f t="shared" ca="1" si="265"/>
        <v>11.359409135138607</v>
      </c>
      <c r="Y602" s="314" t="str">
        <f t="shared" ca="1" si="283"/>
        <v/>
      </c>
      <c r="Z602" s="315" t="str">
        <f t="shared" ca="1" si="284"/>
        <v/>
      </c>
      <c r="AA602" s="316" t="str">
        <f t="shared" ca="1" si="285"/>
        <v/>
      </c>
      <c r="AC602" s="310" t="e">
        <f t="shared" ca="1" si="286"/>
        <v>#N/A</v>
      </c>
      <c r="AD602" s="323" t="e">
        <f t="shared" ca="1" si="287"/>
        <v>#N/A</v>
      </c>
      <c r="AE602" s="324">
        <f t="shared" ca="1" si="266"/>
        <v>1886.6342397136732</v>
      </c>
      <c r="AG602" s="306">
        <f t="shared" ca="1" si="288"/>
        <v>-10.420414538954555</v>
      </c>
      <c r="AH602" s="304">
        <f t="shared" ca="1" si="289"/>
        <v>-1.1116234566866245</v>
      </c>
    </row>
    <row r="603" spans="1:34" x14ac:dyDescent="0.25">
      <c r="A603" s="347">
        <f t="shared" ca="1" si="267"/>
        <v>0.1</v>
      </c>
      <c r="B603" s="304">
        <f t="shared" ca="1" si="268"/>
        <v>14.899999999999903</v>
      </c>
      <c r="D603" s="306">
        <f t="shared" ca="1" si="269"/>
        <v>-0.34298563909364427</v>
      </c>
      <c r="E603" s="307">
        <f t="shared" ca="1" si="270"/>
        <v>-10.821231107843024</v>
      </c>
      <c r="F603" s="304">
        <f t="shared" ca="1" si="271"/>
        <v>10.82666531476678</v>
      </c>
      <c r="G603" s="306">
        <f t="shared" ca="1" si="272"/>
        <v>16.643390630583561</v>
      </c>
      <c r="H603" s="307">
        <f t="shared" ca="1" si="273"/>
        <v>48.089026343097402</v>
      </c>
      <c r="I603" s="304">
        <f t="shared" ca="1" si="274"/>
        <v>50.887689142948048</v>
      </c>
      <c r="J603" s="306">
        <f t="shared" ca="1" si="275"/>
        <v>287.99254894719019</v>
      </c>
      <c r="K603" s="307">
        <f t="shared" ca="1" si="276"/>
        <v>1891.4972485035221</v>
      </c>
      <c r="L603" s="304">
        <f t="shared" ca="1" si="261"/>
        <v>1913.2959910441182</v>
      </c>
      <c r="M603" s="306">
        <f t="shared" ca="1" si="277"/>
        <v>1.2376042222557433</v>
      </c>
      <c r="N603" s="304">
        <f t="shared" ca="1" si="278"/>
        <v>70.909498642824801</v>
      </c>
      <c r="P603" s="310">
        <f t="shared" ca="1" si="279"/>
        <v>23</v>
      </c>
      <c r="Q603" s="304">
        <f t="shared" ca="1" si="280"/>
        <v>0</v>
      </c>
      <c r="R603" s="306">
        <f t="shared" ca="1" si="281"/>
        <v>0</v>
      </c>
      <c r="S603" s="307">
        <f t="shared" ca="1" si="282"/>
        <v>10.637999999999975</v>
      </c>
      <c r="T603" s="304">
        <f t="shared" ca="1" si="262"/>
        <v>104.35877999999975</v>
      </c>
      <c r="U603" s="311">
        <f t="shared" ca="1" si="263"/>
        <v>0</v>
      </c>
      <c r="V603" s="306">
        <f t="shared" ca="1" si="264"/>
        <v>1.013311954809285</v>
      </c>
      <c r="W603" s="304">
        <f t="shared" ca="1" si="265"/>
        <v>10.90577945907655</v>
      </c>
      <c r="Y603" s="314" t="str">
        <f t="shared" ca="1" si="283"/>
        <v/>
      </c>
      <c r="Z603" s="315" t="str">
        <f t="shared" ca="1" si="284"/>
        <v/>
      </c>
      <c r="AA603" s="316" t="str">
        <f t="shared" ca="1" si="285"/>
        <v/>
      </c>
      <c r="AC603" s="310" t="e">
        <f t="shared" ca="1" si="286"/>
        <v>#N/A</v>
      </c>
      <c r="AD603" s="323" t="e">
        <f t="shared" ca="1" si="287"/>
        <v>#N/A</v>
      </c>
      <c r="AE603" s="324">
        <f t="shared" ca="1" si="266"/>
        <v>1891.4972485035221</v>
      </c>
      <c r="AG603" s="306">
        <f t="shared" ca="1" si="288"/>
        <v>-10.357984599379904</v>
      </c>
      <c r="AH603" s="304">
        <f t="shared" ca="1" si="289"/>
        <v>-1.0678143575050418</v>
      </c>
    </row>
    <row r="604" spans="1:34" x14ac:dyDescent="0.25">
      <c r="A604" s="347">
        <f t="shared" ca="1" si="267"/>
        <v>0.1</v>
      </c>
      <c r="B604" s="304">
        <f t="shared" ca="1" si="268"/>
        <v>14.999999999999902</v>
      </c>
      <c r="D604" s="306">
        <f t="shared" ca="1" si="269"/>
        <v>-0.33529401538266068</v>
      </c>
      <c r="E604" s="307">
        <f t="shared" ca="1" si="270"/>
        <v>-10.77879074079957</v>
      </c>
      <c r="F604" s="304">
        <f t="shared" ca="1" si="271"/>
        <v>10.784004446897171</v>
      </c>
      <c r="G604" s="306">
        <f t="shared" ca="1" si="272"/>
        <v>16.609861229045293</v>
      </c>
      <c r="H604" s="307">
        <f t="shared" ca="1" si="273"/>
        <v>47.011147269017442</v>
      </c>
      <c r="I604" s="304">
        <f t="shared" ca="1" si="274"/>
        <v>49.859156206231447</v>
      </c>
      <c r="J604" s="306">
        <f t="shared" ca="1" si="275"/>
        <v>289.65521154017165</v>
      </c>
      <c r="K604" s="307">
        <f t="shared" ca="1" si="276"/>
        <v>1896.2522571841278</v>
      </c>
      <c r="L604" s="304">
        <f t="shared" ca="1" si="261"/>
        <v>1918.2473157672555</v>
      </c>
      <c r="M604" s="306">
        <f t="shared" ca="1" si="277"/>
        <v>1.2311691095560204</v>
      </c>
      <c r="N604" s="304">
        <f t="shared" ca="1" si="278"/>
        <v>70.540793844439648</v>
      </c>
      <c r="P604" s="310">
        <f t="shared" ca="1" si="279"/>
        <v>23</v>
      </c>
      <c r="Q604" s="304">
        <f t="shared" ca="1" si="280"/>
        <v>0</v>
      </c>
      <c r="R604" s="306">
        <f t="shared" ca="1" si="281"/>
        <v>0</v>
      </c>
      <c r="S604" s="307">
        <f t="shared" ca="1" si="282"/>
        <v>10.637999999999975</v>
      </c>
      <c r="T604" s="304">
        <f t="shared" ca="1" si="262"/>
        <v>104.35877999999975</v>
      </c>
      <c r="U604" s="311">
        <f t="shared" ca="1" si="263"/>
        <v>0</v>
      </c>
      <c r="V604" s="306">
        <f t="shared" ca="1" si="264"/>
        <v>1.0128258810899098</v>
      </c>
      <c r="W604" s="304">
        <f t="shared" ca="1" si="265"/>
        <v>10.464361269080767</v>
      </c>
      <c r="Y604" s="314" t="str">
        <f t="shared" ca="1" si="283"/>
        <v/>
      </c>
      <c r="Z604" s="315" t="str">
        <f t="shared" ca="1" si="284"/>
        <v/>
      </c>
      <c r="AA604" s="316" t="str">
        <f t="shared" ca="1" si="285"/>
        <v/>
      </c>
      <c r="AC604" s="310">
        <f t="shared" ca="1" si="286"/>
        <v>14.999999999999902</v>
      </c>
      <c r="AD604" s="323">
        <f t="shared" ca="1" si="287"/>
        <v>289.65521154017165</v>
      </c>
      <c r="AE604" s="324">
        <f t="shared" ca="1" si="266"/>
        <v>1896.2522571841278</v>
      </c>
      <c r="AG604" s="306">
        <f t="shared" ca="1" si="288"/>
        <v>-10.295652838222068</v>
      </c>
      <c r="AH604" s="304">
        <f t="shared" ca="1" si="289"/>
        <v>-1.0251719739684693</v>
      </c>
    </row>
    <row r="605" spans="1:34" x14ac:dyDescent="0.25">
      <c r="A605" s="347">
        <f t="shared" ca="1" si="267"/>
        <v>0.1</v>
      </c>
      <c r="B605" s="304">
        <f t="shared" ca="1" si="268"/>
        <v>15.099999999999902</v>
      </c>
      <c r="D605" s="306">
        <f t="shared" ca="1" si="269"/>
        <v>-0.3276980207838176</v>
      </c>
      <c r="E605" s="307">
        <f t="shared" ca="1" si="270"/>
        <v>-10.737488779249666</v>
      </c>
      <c r="F605" s="304">
        <f t="shared" ca="1" si="271"/>
        <v>10.742488132520236</v>
      </c>
      <c r="G605" s="306">
        <f t="shared" ca="1" si="272"/>
        <v>16.577091426966913</v>
      </c>
      <c r="H605" s="307">
        <f t="shared" ca="1" si="273"/>
        <v>45.937398391092472</v>
      </c>
      <c r="I605" s="304">
        <f t="shared" ca="1" si="274"/>
        <v>48.836917706996672</v>
      </c>
      <c r="J605" s="306">
        <f t="shared" ca="1" si="275"/>
        <v>291.31455917297228</v>
      </c>
      <c r="K605" s="307">
        <f t="shared" ca="1" si="276"/>
        <v>1900.8996844671333</v>
      </c>
      <c r="L605" s="304">
        <f t="shared" ca="1" si="261"/>
        <v>1923.0922450037051</v>
      </c>
      <c r="M605" s="306">
        <f t="shared" ca="1" si="277"/>
        <v>1.2244772767409275</v>
      </c>
      <c r="N605" s="304">
        <f t="shared" ca="1" si="278"/>
        <v>70.157380066927672</v>
      </c>
      <c r="P605" s="310">
        <f t="shared" ca="1" si="279"/>
        <v>23</v>
      </c>
      <c r="Q605" s="304">
        <f t="shared" ca="1" si="280"/>
        <v>0</v>
      </c>
      <c r="R605" s="306">
        <f t="shared" ca="1" si="281"/>
        <v>0</v>
      </c>
      <c r="S605" s="307">
        <f t="shared" ca="1" si="282"/>
        <v>10.637999999999975</v>
      </c>
      <c r="T605" s="304">
        <f t="shared" ca="1" si="262"/>
        <v>104.35877999999975</v>
      </c>
      <c r="U605" s="311">
        <f t="shared" ca="1" si="263"/>
        <v>0</v>
      </c>
      <c r="V605" s="306">
        <f t="shared" ca="1" si="264"/>
        <v>1.0123510086780805</v>
      </c>
      <c r="W605" s="304">
        <f t="shared" ca="1" si="265"/>
        <v>10.034961195558415</v>
      </c>
      <c r="Y605" s="314" t="str">
        <f t="shared" ca="1" si="283"/>
        <v/>
      </c>
      <c r="Z605" s="315" t="str">
        <f t="shared" ca="1" si="284"/>
        <v/>
      </c>
      <c r="AA605" s="316" t="str">
        <f t="shared" ca="1" si="285"/>
        <v/>
      </c>
      <c r="AC605" s="310" t="e">
        <f t="shared" ca="1" si="286"/>
        <v>#N/A</v>
      </c>
      <c r="AD605" s="323" t="e">
        <f t="shared" ca="1" si="287"/>
        <v>#N/A</v>
      </c>
      <c r="AE605" s="324">
        <f t="shared" ca="1" si="266"/>
        <v>1900.8996844671333</v>
      </c>
      <c r="AG605" s="306">
        <f t="shared" ca="1" si="288"/>
        <v>-10.233319690380402</v>
      </c>
      <c r="AH605" s="304">
        <f t="shared" ca="1" si="289"/>
        <v>-0.9836775022636578</v>
      </c>
    </row>
    <row r="606" spans="1:34" x14ac:dyDescent="0.25">
      <c r="A606" s="347">
        <f t="shared" ca="1" si="267"/>
        <v>0.1</v>
      </c>
      <c r="B606" s="304">
        <f t="shared" ca="1" si="268"/>
        <v>15.199999999999902</v>
      </c>
      <c r="D606" s="306">
        <f t="shared" ca="1" si="269"/>
        <v>-0.32019592321054829</v>
      </c>
      <c r="E606" s="307">
        <f t="shared" ca="1" si="270"/>
        <v>-10.697306904985677</v>
      </c>
      <c r="F606" s="304">
        <f t="shared" ca="1" si="271"/>
        <v>10.702097946136304</v>
      </c>
      <c r="G606" s="306">
        <f t="shared" ca="1" si="272"/>
        <v>16.545071834645857</v>
      </c>
      <c r="H606" s="307">
        <f t="shared" ca="1" si="273"/>
        <v>44.867667700593906</v>
      </c>
      <c r="I606" s="304">
        <f t="shared" ca="1" si="274"/>
        <v>47.820989187850444</v>
      </c>
      <c r="J606" s="306">
        <f t="shared" ca="1" si="275"/>
        <v>292.97066733605294</v>
      </c>
      <c r="K606" s="307">
        <f t="shared" ca="1" si="276"/>
        <v>1905.4399377717175</v>
      </c>
      <c r="L606" s="304">
        <f t="shared" ca="1" si="261"/>
        <v>1927.8312084762033</v>
      </c>
      <c r="M606" s="306">
        <f t="shared" ca="1" si="277"/>
        <v>1.2175139937042099</v>
      </c>
      <c r="N606" s="304">
        <f t="shared" ca="1" si="278"/>
        <v>69.758413337368708</v>
      </c>
      <c r="P606" s="310">
        <f t="shared" ca="1" si="279"/>
        <v>23</v>
      </c>
      <c r="Q606" s="304">
        <f t="shared" ca="1" si="280"/>
        <v>0</v>
      </c>
      <c r="R606" s="306">
        <f t="shared" ca="1" si="281"/>
        <v>0</v>
      </c>
      <c r="S606" s="307">
        <f t="shared" ca="1" si="282"/>
        <v>10.637999999999975</v>
      </c>
      <c r="T606" s="304">
        <f t="shared" ca="1" si="262"/>
        <v>104.35877999999975</v>
      </c>
      <c r="U606" s="311">
        <f t="shared" ca="1" si="263"/>
        <v>0</v>
      </c>
      <c r="V606" s="306">
        <f t="shared" ca="1" si="264"/>
        <v>1.0118872818440379</v>
      </c>
      <c r="W606" s="304">
        <f t="shared" ca="1" si="265"/>
        <v>9.6173923421310441</v>
      </c>
      <c r="Y606" s="314" t="str">
        <f t="shared" ca="1" si="283"/>
        <v/>
      </c>
      <c r="Z606" s="315" t="str">
        <f t="shared" ca="1" si="284"/>
        <v/>
      </c>
      <c r="AA606" s="316" t="str">
        <f t="shared" ca="1" si="285"/>
        <v/>
      </c>
      <c r="AC606" s="310" t="e">
        <f t="shared" ca="1" si="286"/>
        <v>#N/A</v>
      </c>
      <c r="AD606" s="323" t="e">
        <f t="shared" ca="1" si="287"/>
        <v>#N/A</v>
      </c>
      <c r="AE606" s="324">
        <f t="shared" ca="1" si="266"/>
        <v>1905.4399377717175</v>
      </c>
      <c r="AG606" s="306">
        <f t="shared" ca="1" si="288"/>
        <v>-10.170878700408901</v>
      </c>
      <c r="AH606" s="304">
        <f t="shared" ca="1" si="289"/>
        <v>-0.94331276513991713</v>
      </c>
    </row>
    <row r="607" spans="1:34" x14ac:dyDescent="0.25">
      <c r="A607" s="347">
        <f t="shared" ca="1" si="267"/>
        <v>0.1</v>
      </c>
      <c r="B607" s="304">
        <f t="shared" ca="1" si="268"/>
        <v>15.299999999999901</v>
      </c>
      <c r="D607" s="306">
        <f t="shared" ca="1" si="269"/>
        <v>-0.31278610300729548</v>
      </c>
      <c r="E607" s="307">
        <f t="shared" ca="1" si="270"/>
        <v>-10.658227379811523</v>
      </c>
      <c r="F607" s="304">
        <f t="shared" ca="1" si="271"/>
        <v>10.662816045773203</v>
      </c>
      <c r="G607" s="306">
        <f t="shared" ca="1" si="272"/>
        <v>16.513793224345125</v>
      </c>
      <c r="H607" s="307">
        <f t="shared" ca="1" si="273"/>
        <v>43.801844962612755</v>
      </c>
      <c r="I607" s="304">
        <f t="shared" ca="1" si="274"/>
        <v>46.811398064843047</v>
      </c>
      <c r="J607" s="306">
        <f t="shared" ca="1" si="275"/>
        <v>294.62361058900251</v>
      </c>
      <c r="K607" s="307">
        <f t="shared" ca="1" si="276"/>
        <v>1909.8734134048777</v>
      </c>
      <c r="L607" s="304">
        <f t="shared" ca="1" si="261"/>
        <v>1932.4646250700941</v>
      </c>
      <c r="M607" s="306">
        <f t="shared" ca="1" si="277"/>
        <v>1.2102634378509241</v>
      </c>
      <c r="N607" s="304">
        <f t="shared" ca="1" si="278"/>
        <v>69.342987087851554</v>
      </c>
      <c r="P607" s="310">
        <f t="shared" ca="1" si="279"/>
        <v>23</v>
      </c>
      <c r="Q607" s="304">
        <f t="shared" ca="1" si="280"/>
        <v>0</v>
      </c>
      <c r="R607" s="306">
        <f t="shared" ca="1" si="281"/>
        <v>0</v>
      </c>
      <c r="S607" s="307">
        <f t="shared" ca="1" si="282"/>
        <v>10.637999999999975</v>
      </c>
      <c r="T607" s="304">
        <f t="shared" ca="1" si="262"/>
        <v>104.35877999999975</v>
      </c>
      <c r="U607" s="311">
        <f t="shared" ca="1" si="263"/>
        <v>0</v>
      </c>
      <c r="V607" s="306">
        <f t="shared" ca="1" si="264"/>
        <v>1.0114346464010544</v>
      </c>
      <c r="W607" s="304">
        <f t="shared" ca="1" si="265"/>
        <v>9.2114741013567709</v>
      </c>
      <c r="Y607" s="314" t="str">
        <f t="shared" ca="1" si="283"/>
        <v/>
      </c>
      <c r="Z607" s="315" t="str">
        <f t="shared" ca="1" si="284"/>
        <v/>
      </c>
      <c r="AA607" s="316" t="str">
        <f t="shared" ca="1" si="285"/>
        <v/>
      </c>
      <c r="AC607" s="310" t="e">
        <f t="shared" ca="1" si="286"/>
        <v>#N/A</v>
      </c>
      <c r="AD607" s="323" t="e">
        <f t="shared" ca="1" si="287"/>
        <v>#N/A</v>
      </c>
      <c r="AE607" s="324">
        <f t="shared" ca="1" si="266"/>
        <v>1909.8734134048777</v>
      </c>
      <c r="AG607" s="306">
        <f t="shared" ca="1" si="288"/>
        <v>-10.108215683265289</v>
      </c>
      <c r="AH607" s="304">
        <f t="shared" ca="1" si="289"/>
        <v>-0.90406019384574798</v>
      </c>
    </row>
    <row r="608" spans="1:34" x14ac:dyDescent="0.25">
      <c r="A608" s="347">
        <f t="shared" ca="1" si="267"/>
        <v>0.1</v>
      </c>
      <c r="B608" s="304">
        <f t="shared" ca="1" si="268"/>
        <v>15.399999999999901</v>
      </c>
      <c r="D608" s="306">
        <f t="shared" ca="1" si="269"/>
        <v>-0.30546705634012655</v>
      </c>
      <c r="E608" s="307">
        <f t="shared" ca="1" si="270"/>
        <v>-10.620233025279177</v>
      </c>
      <c r="F608" s="304">
        <f t="shared" ca="1" si="271"/>
        <v>10.624625152622542</v>
      </c>
      <c r="G608" s="306">
        <f t="shared" ca="1" si="272"/>
        <v>16.483246518711113</v>
      </c>
      <c r="H608" s="307">
        <f t="shared" ca="1" si="273"/>
        <v>42.739821660084836</v>
      </c>
      <c r="I608" s="304">
        <f t="shared" ca="1" si="274"/>
        <v>45.808184545258491</v>
      </c>
      <c r="J608" s="306">
        <f t="shared" ca="1" si="275"/>
        <v>296.27346257615534</v>
      </c>
      <c r="K608" s="307">
        <f t="shared" ca="1" si="276"/>
        <v>1914.2004967360126</v>
      </c>
      <c r="L608" s="304">
        <f t="shared" ca="1" si="261"/>
        <v>1936.9929030152027</v>
      </c>
      <c r="M608" s="306">
        <f t="shared" ca="1" si="277"/>
        <v>1.2027085975433296</v>
      </c>
      <c r="N608" s="304">
        <f t="shared" ca="1" si="278"/>
        <v>68.910126623331081</v>
      </c>
      <c r="P608" s="310">
        <f t="shared" ca="1" si="279"/>
        <v>23</v>
      </c>
      <c r="Q608" s="304">
        <f t="shared" ca="1" si="280"/>
        <v>0</v>
      </c>
      <c r="R608" s="306">
        <f t="shared" ca="1" si="281"/>
        <v>0</v>
      </c>
      <c r="S608" s="307">
        <f t="shared" ca="1" si="282"/>
        <v>10.637999999999975</v>
      </c>
      <c r="T608" s="304">
        <f t="shared" ca="1" si="262"/>
        <v>104.35877999999975</v>
      </c>
      <c r="U608" s="311">
        <f t="shared" ca="1" si="263"/>
        <v>0</v>
      </c>
      <c r="V608" s="306">
        <f t="shared" ca="1" si="264"/>
        <v>1.0109930496801951</v>
      </c>
      <c r="W608" s="304">
        <f t="shared" ca="1" si="265"/>
        <v>8.817031977997237</v>
      </c>
      <c r="Y608" s="314" t="str">
        <f t="shared" ca="1" si="283"/>
        <v/>
      </c>
      <c r="Z608" s="315" t="str">
        <f t="shared" ca="1" si="284"/>
        <v/>
      </c>
      <c r="AA608" s="316" t="str">
        <f t="shared" ca="1" si="285"/>
        <v/>
      </c>
      <c r="AC608" s="310" t="e">
        <f t="shared" ca="1" si="286"/>
        <v>#N/A</v>
      </c>
      <c r="AD608" s="323" t="e">
        <f t="shared" ca="1" si="287"/>
        <v>#N/A</v>
      </c>
      <c r="AE608" s="324">
        <f t="shared" ca="1" si="266"/>
        <v>1914.2004967360126</v>
      </c>
      <c r="AG608" s="306">
        <f t="shared" ca="1" si="288"/>
        <v>-10.045207784522622</v>
      </c>
      <c r="AH608" s="304">
        <f t="shared" ca="1" si="289"/>
        <v>-0.8659028108062411</v>
      </c>
    </row>
    <row r="609" spans="1:34" x14ac:dyDescent="0.25">
      <c r="A609" s="347">
        <f t="shared" ca="1" si="267"/>
        <v>0.1</v>
      </c>
      <c r="B609" s="304">
        <f t="shared" ca="1" si="268"/>
        <v>15.499999999999901</v>
      </c>
      <c r="D609" s="306">
        <f t="shared" ca="1" si="269"/>
        <v>-0.29823739926252585</v>
      </c>
      <c r="E609" s="307">
        <f t="shared" ca="1" si="270"/>
        <v>-10.583307202702965</v>
      </c>
      <c r="F609" s="304">
        <f t="shared" ca="1" si="271"/>
        <v>10.587508530957759</v>
      </c>
      <c r="G609" s="306">
        <f t="shared" ca="1" si="272"/>
        <v>16.453422778784859</v>
      </c>
      <c r="H609" s="307">
        <f t="shared" ca="1" si="273"/>
        <v>41.681490939814537</v>
      </c>
      <c r="I609" s="304">
        <f t="shared" ca="1" si="274"/>
        <v>44.811402657172849</v>
      </c>
      <c r="J609" s="306">
        <f t="shared" ca="1" si="275"/>
        <v>297.92029604103016</v>
      </c>
      <c r="K609" s="307">
        <f t="shared" ca="1" si="276"/>
        <v>1918.4215623660075</v>
      </c>
      <c r="L609" s="304">
        <f t="shared" ca="1" si="261"/>
        <v>1941.4164400622574</v>
      </c>
      <c r="M609" s="306">
        <f t="shared" ca="1" si="277"/>
        <v>1.194831166060079</v>
      </c>
      <c r="N609" s="304">
        <f t="shared" ca="1" si="278"/>
        <v>68.458783045937338</v>
      </c>
      <c r="P609" s="310">
        <f t="shared" ca="1" si="279"/>
        <v>23</v>
      </c>
      <c r="Q609" s="304">
        <f t="shared" ca="1" si="280"/>
        <v>0</v>
      </c>
      <c r="R609" s="306">
        <f t="shared" ca="1" si="281"/>
        <v>0</v>
      </c>
      <c r="S609" s="307">
        <f t="shared" ca="1" si="282"/>
        <v>10.637999999999975</v>
      </c>
      <c r="T609" s="304">
        <f t="shared" ca="1" si="262"/>
        <v>104.35877999999975</v>
      </c>
      <c r="U609" s="311">
        <f t="shared" ca="1" si="263"/>
        <v>0</v>
      </c>
      <c r="V609" s="306">
        <f t="shared" ca="1" si="264"/>
        <v>1.0105624405058959</v>
      </c>
      <c r="W609" s="304">
        <f t="shared" ca="1" si="265"/>
        <v>8.4338974195088241</v>
      </c>
      <c r="Y609" s="314" t="str">
        <f t="shared" ca="1" si="283"/>
        <v/>
      </c>
      <c r="Z609" s="315" t="str">
        <f t="shared" ca="1" si="284"/>
        <v/>
      </c>
      <c r="AA609" s="316" t="str">
        <f t="shared" ca="1" si="285"/>
        <v/>
      </c>
      <c r="AC609" s="310" t="e">
        <f t="shared" ca="1" si="286"/>
        <v>#N/A</v>
      </c>
      <c r="AD609" s="323" t="e">
        <f t="shared" ca="1" si="287"/>
        <v>#N/A</v>
      </c>
      <c r="AE609" s="324">
        <f t="shared" ca="1" si="266"/>
        <v>1918.4215623660075</v>
      </c>
      <c r="AG609" s="306">
        <f t="shared" ca="1" si="288"/>
        <v>-9.981722426454203</v>
      </c>
      <c r="AH609" s="304">
        <f t="shared" ca="1" si="289"/>
        <v>-0.82882421300970655</v>
      </c>
    </row>
    <row r="610" spans="1:34" x14ac:dyDescent="0.25">
      <c r="A610" s="347">
        <f t="shared" ca="1" si="267"/>
        <v>0.1</v>
      </c>
      <c r="B610" s="304">
        <f t="shared" ca="1" si="268"/>
        <v>15.5999999999999</v>
      </c>
      <c r="D610" s="306">
        <f t="shared" ca="1" si="269"/>
        <v>-0.29109587252845459</v>
      </c>
      <c r="E610" s="307">
        <f t="shared" ca="1" si="270"/>
        <v>-10.547433793353742</v>
      </c>
      <c r="F610" s="304">
        <f t="shared" ca="1" si="271"/>
        <v>10.551449968235815</v>
      </c>
      <c r="G610" s="306">
        <f t="shared" ca="1" si="272"/>
        <v>16.424313191532015</v>
      </c>
      <c r="H610" s="307">
        <f t="shared" ca="1" si="273"/>
        <v>40.62674756047916</v>
      </c>
      <c r="I610" s="304">
        <f t="shared" ca="1" si="274"/>
        <v>43.821121404597029</v>
      </c>
      <c r="J610" s="306">
        <f t="shared" ca="1" si="275"/>
        <v>299.56418283954599</v>
      </c>
      <c r="K610" s="307">
        <f t="shared" ca="1" si="276"/>
        <v>1922.5369742910223</v>
      </c>
      <c r="L610" s="304">
        <f t="shared" ca="1" si="261"/>
        <v>1945.735623654047</v>
      </c>
      <c r="M610" s="306">
        <f t="shared" ca="1" si="277"/>
        <v>1.1866114251273234</v>
      </c>
      <c r="N610" s="304">
        <f t="shared" ca="1" si="278"/>
        <v>67.98782658179951</v>
      </c>
      <c r="P610" s="310">
        <f t="shared" ca="1" si="279"/>
        <v>23</v>
      </c>
      <c r="Q610" s="304">
        <f t="shared" ca="1" si="280"/>
        <v>0</v>
      </c>
      <c r="R610" s="306">
        <f t="shared" ca="1" si="281"/>
        <v>0</v>
      </c>
      <c r="S610" s="307">
        <f t="shared" ca="1" si="282"/>
        <v>10.637999999999975</v>
      </c>
      <c r="T610" s="304">
        <f t="shared" ca="1" si="262"/>
        <v>104.35877999999975</v>
      </c>
      <c r="U610" s="311">
        <f t="shared" ca="1" si="263"/>
        <v>0</v>
      </c>
      <c r="V610" s="306">
        <f t="shared" ca="1" si="264"/>
        <v>1.010142769172347</v>
      </c>
      <c r="W610" s="304">
        <f t="shared" ca="1" si="265"/>
        <v>8.0619076534519873</v>
      </c>
      <c r="Y610" s="314" t="str">
        <f t="shared" ca="1" si="283"/>
        <v/>
      </c>
      <c r="Z610" s="315" t="str">
        <f t="shared" ca="1" si="284"/>
        <v/>
      </c>
      <c r="AA610" s="316" t="str">
        <f t="shared" ca="1" si="285"/>
        <v/>
      </c>
      <c r="AC610" s="310" t="e">
        <f t="shared" ca="1" si="286"/>
        <v>#N/A</v>
      </c>
      <c r="AD610" s="323" t="e">
        <f t="shared" ca="1" si="287"/>
        <v>#N/A</v>
      </c>
      <c r="AE610" s="324">
        <f t="shared" ca="1" si="266"/>
        <v>1922.5369742910223</v>
      </c>
      <c r="AG610" s="306">
        <f t="shared" ca="1" si="288"/>
        <v>-9.9176161245356607</v>
      </c>
      <c r="AH610" s="304">
        <f t="shared" ca="1" si="289"/>
        <v>-0.79280855607340139</v>
      </c>
    </row>
    <row r="611" spans="1:34" x14ac:dyDescent="0.25">
      <c r="A611" s="347">
        <f t="shared" ca="1" si="267"/>
        <v>0.1</v>
      </c>
      <c r="B611" s="304">
        <f t="shared" ca="1" si="268"/>
        <v>15.6999999999999</v>
      </c>
      <c r="D611" s="306">
        <f t="shared" ca="1" si="269"/>
        <v>-0.28404134723503016</v>
      </c>
      <c r="E611" s="307">
        <f t="shared" ca="1" si="270"/>
        <v>-10.512597178724379</v>
      </c>
      <c r="F611" s="304">
        <f t="shared" ca="1" si="271"/>
        <v>10.516433755273832</v>
      </c>
      <c r="G611" s="306">
        <f t="shared" ca="1" si="272"/>
        <v>16.395909056808513</v>
      </c>
      <c r="H611" s="307">
        <f t="shared" ca="1" si="273"/>
        <v>39.575487842606719</v>
      </c>
      <c r="I611" s="304">
        <f t="shared" ca="1" si="274"/>
        <v>42.837426063892394</v>
      </c>
      <c r="J611" s="306">
        <f t="shared" ca="1" si="275"/>
        <v>301.205193951963</v>
      </c>
      <c r="K611" s="307">
        <f t="shared" ca="1" si="276"/>
        <v>1926.5470860611765</v>
      </c>
      <c r="L611" s="304">
        <f t="shared" ca="1" si="261"/>
        <v>1949.9508310915048</v>
      </c>
      <c r="M611" s="306">
        <f t="shared" ca="1" si="277"/>
        <v>1.1780281170078475</v>
      </c>
      <c r="N611" s="304">
        <f t="shared" ca="1" si="278"/>
        <v>67.496039252293173</v>
      </c>
      <c r="P611" s="310">
        <f t="shared" ca="1" si="279"/>
        <v>23</v>
      </c>
      <c r="Q611" s="304">
        <f t="shared" ca="1" si="280"/>
        <v>0</v>
      </c>
      <c r="R611" s="306">
        <f t="shared" ca="1" si="281"/>
        <v>0</v>
      </c>
      <c r="S611" s="307">
        <f t="shared" ca="1" si="282"/>
        <v>10.637999999999975</v>
      </c>
      <c r="T611" s="304">
        <f t="shared" ca="1" si="262"/>
        <v>104.35877999999975</v>
      </c>
      <c r="U611" s="311">
        <f t="shared" ca="1" si="263"/>
        <v>0</v>
      </c>
      <c r="V611" s="306">
        <f t="shared" ca="1" si="264"/>
        <v>1.0097339874206444</v>
      </c>
      <c r="W611" s="304">
        <f t="shared" ca="1" si="265"/>
        <v>7.700905531525299</v>
      </c>
      <c r="Y611" s="314" t="str">
        <f t="shared" ca="1" si="283"/>
        <v/>
      </c>
      <c r="Z611" s="315" t="str">
        <f t="shared" ca="1" si="284"/>
        <v/>
      </c>
      <c r="AA611" s="316" t="str">
        <f t="shared" ca="1" si="285"/>
        <v/>
      </c>
      <c r="AC611" s="310" t="e">
        <f t="shared" ca="1" si="286"/>
        <v>#N/A</v>
      </c>
      <c r="AD611" s="323" t="e">
        <f t="shared" ca="1" si="287"/>
        <v>#N/A</v>
      </c>
      <c r="AE611" s="324">
        <f t="shared" ca="1" si="266"/>
        <v>1926.5470860611765</v>
      </c>
      <c r="AG611" s="306">
        <f t="shared" ca="1" si="288"/>
        <v>-9.852733156803243</v>
      </c>
      <c r="AH611" s="304">
        <f t="shared" ca="1" si="289"/>
        <v>-0.75784053895957948</v>
      </c>
    </row>
    <row r="612" spans="1:34" x14ac:dyDescent="0.25">
      <c r="A612" s="347">
        <f t="shared" ca="1" si="267"/>
        <v>0.1</v>
      </c>
      <c r="B612" s="304">
        <f t="shared" ca="1" si="268"/>
        <v>15.799999999999899</v>
      </c>
      <c r="D612" s="306">
        <f t="shared" ca="1" si="269"/>
        <v>-0.27707283138878741</v>
      </c>
      <c r="E612" s="307">
        <f t="shared" ca="1" si="270"/>
        <v>-10.478782220744886</v>
      </c>
      <c r="F612" s="304">
        <f t="shared" ca="1" si="271"/>
        <v>10.482444666378779</v>
      </c>
      <c r="G612" s="306">
        <f t="shared" ca="1" si="272"/>
        <v>16.368201773669636</v>
      </c>
      <c r="H612" s="307">
        <f t="shared" ca="1" si="273"/>
        <v>38.527609620532232</v>
      </c>
      <c r="I612" s="304">
        <f t="shared" ca="1" si="274"/>
        <v>41.860419639268905</v>
      </c>
      <c r="J612" s="306">
        <f t="shared" ca="1" si="275"/>
        <v>302.84339949348691</v>
      </c>
      <c r="K612" s="307">
        <f t="shared" ca="1" si="276"/>
        <v>1930.4522409343335</v>
      </c>
      <c r="L612" s="304">
        <f t="shared" ca="1" si="261"/>
        <v>1954.0624296949065</v>
      </c>
      <c r="M612" s="306">
        <f t="shared" ca="1" si="277"/>
        <v>1.1690583040658156</v>
      </c>
      <c r="N612" s="304">
        <f t="shared" ca="1" si="278"/>
        <v>66.982106827692917</v>
      </c>
      <c r="P612" s="310">
        <f t="shared" ca="1" si="279"/>
        <v>23</v>
      </c>
      <c r="Q612" s="304">
        <f t="shared" ca="1" si="280"/>
        <v>0</v>
      </c>
      <c r="R612" s="306">
        <f t="shared" ca="1" si="281"/>
        <v>0</v>
      </c>
      <c r="S612" s="307">
        <f t="shared" ca="1" si="282"/>
        <v>10.637999999999975</v>
      </c>
      <c r="T612" s="304">
        <f t="shared" ca="1" si="262"/>
        <v>104.35877999999975</v>
      </c>
      <c r="U612" s="311">
        <f t="shared" ca="1" si="263"/>
        <v>0</v>
      </c>
      <c r="V612" s="306">
        <f t="shared" ca="1" si="264"/>
        <v>1.0093360484166827</v>
      </c>
      <c r="W612" s="304">
        <f t="shared" ca="1" si="265"/>
        <v>7.3507393799429259</v>
      </c>
      <c r="Y612" s="314" t="str">
        <f t="shared" ca="1" si="283"/>
        <v/>
      </c>
      <c r="Z612" s="315" t="str">
        <f t="shared" ca="1" si="284"/>
        <v/>
      </c>
      <c r="AA612" s="316" t="str">
        <f t="shared" ca="1" si="285"/>
        <v/>
      </c>
      <c r="AC612" s="310" t="e">
        <f t="shared" ca="1" si="286"/>
        <v>#N/A</v>
      </c>
      <c r="AD612" s="323" t="e">
        <f t="shared" ca="1" si="287"/>
        <v>#N/A</v>
      </c>
      <c r="AE612" s="324">
        <f t="shared" ca="1" si="266"/>
        <v>1930.4522409343335</v>
      </c>
      <c r="AG612" s="306">
        <f t="shared" ca="1" si="288"/>
        <v>-9.7869040661468993</v>
      </c>
      <c r="AH612" s="304">
        <f t="shared" ca="1" si="289"/>
        <v>-0.72390538931428061</v>
      </c>
    </row>
    <row r="613" spans="1:34" x14ac:dyDescent="0.25">
      <c r="A613" s="347">
        <f t="shared" ca="1" si="267"/>
        <v>0.1</v>
      </c>
      <c r="B613" s="304">
        <f t="shared" ca="1" si="268"/>
        <v>15.899999999999899</v>
      </c>
      <c r="D613" s="306">
        <f t="shared" ca="1" si="269"/>
        <v>-0.27018947750262362</v>
      </c>
      <c r="E613" s="307">
        <f t="shared" ca="1" si="270"/>
        <v>-10.445974241809635</v>
      </c>
      <c r="F613" s="304">
        <f t="shared" ca="1" si="271"/>
        <v>10.44946793929258</v>
      </c>
      <c r="G613" s="306">
        <f t="shared" ca="1" si="272"/>
        <v>16.341182825919372</v>
      </c>
      <c r="H613" s="307">
        <f t="shared" ca="1" si="273"/>
        <v>37.483012196351268</v>
      </c>
      <c r="I613" s="304">
        <f t="shared" ca="1" si="274"/>
        <v>40.890224497573257</v>
      </c>
      <c r="J613" s="306">
        <f t="shared" ca="1" si="275"/>
        <v>304.47886872346635</v>
      </c>
      <c r="K613" s="307">
        <f t="shared" ca="1" si="276"/>
        <v>1934.2527720251778</v>
      </c>
      <c r="L613" s="304">
        <f t="shared" ca="1" si="261"/>
        <v>1958.070776960375</v>
      </c>
      <c r="M613" s="306">
        <f t="shared" ca="1" si="277"/>
        <v>1.1596772146648362</v>
      </c>
      <c r="N613" s="304">
        <f t="shared" ca="1" si="278"/>
        <v>66.444609997781896</v>
      </c>
      <c r="P613" s="310">
        <f t="shared" ca="1" si="279"/>
        <v>23</v>
      </c>
      <c r="Q613" s="304">
        <f t="shared" ca="1" si="280"/>
        <v>0</v>
      </c>
      <c r="R613" s="306">
        <f t="shared" ca="1" si="281"/>
        <v>0</v>
      </c>
      <c r="S613" s="307">
        <f t="shared" ca="1" si="282"/>
        <v>10.637999999999975</v>
      </c>
      <c r="T613" s="304">
        <f t="shared" ca="1" si="262"/>
        <v>104.35877999999975</v>
      </c>
      <c r="U613" s="311">
        <f t="shared" ca="1" si="263"/>
        <v>0</v>
      </c>
      <c r="V613" s="306">
        <f t="shared" ca="1" si="264"/>
        <v>1.0089489067297666</v>
      </c>
      <c r="W613" s="304">
        <f t="shared" ca="1" si="265"/>
        <v>7.0112628558850583</v>
      </c>
      <c r="Y613" s="314" t="str">
        <f t="shared" ca="1" si="283"/>
        <v/>
      </c>
      <c r="Z613" s="315" t="str">
        <f t="shared" ca="1" si="284"/>
        <v/>
      </c>
      <c r="AA613" s="316" t="str">
        <f t="shared" ca="1" si="285"/>
        <v/>
      </c>
      <c r="AC613" s="310" t="e">
        <f t="shared" ca="1" si="286"/>
        <v>#N/A</v>
      </c>
      <c r="AD613" s="323" t="e">
        <f t="shared" ca="1" si="287"/>
        <v>#N/A</v>
      </c>
      <c r="AE613" s="324">
        <f t="shared" ca="1" si="266"/>
        <v>1934.2527720251778</v>
      </c>
      <c r="AG613" s="306">
        <f t="shared" ca="1" si="288"/>
        <v>-9.719943972988041</v>
      </c>
      <c r="AH613" s="304">
        <f t="shared" ca="1" si="289"/>
        <v>-0.69098884940241989</v>
      </c>
    </row>
    <row r="614" spans="1:34" x14ac:dyDescent="0.25">
      <c r="A614" s="347">
        <f t="shared" ca="1" si="267"/>
        <v>0.1</v>
      </c>
      <c r="B614" s="304">
        <f t="shared" ca="1" si="268"/>
        <v>15.999999999999899</v>
      </c>
      <c r="D614" s="306">
        <f t="shared" ca="1" si="269"/>
        <v>-0.26339059134533888</v>
      </c>
      <c r="E614" s="307">
        <f t="shared" ca="1" si="270"/>
        <v>-10.414159004459707</v>
      </c>
      <c r="F614" s="304">
        <f t="shared" ca="1" si="271"/>
        <v>10.41748925479544</v>
      </c>
      <c r="G614" s="306">
        <f t="shared" ca="1" si="272"/>
        <v>16.314843766784836</v>
      </c>
      <c r="H614" s="307">
        <f t="shared" ca="1" si="273"/>
        <v>36.441596295905299</v>
      </c>
      <c r="I614" s="304">
        <f t="shared" ca="1" si="274"/>
        <v>39.926984205275716</v>
      </c>
      <c r="J614" s="306">
        <f t="shared" ca="1" si="275"/>
        <v>306.11167005310153</v>
      </c>
      <c r="K614" s="307">
        <f t="shared" ca="1" si="276"/>
        <v>1937.9490024497907</v>
      </c>
      <c r="L614" s="304">
        <f t="shared" ca="1" si="261"/>
        <v>1961.9762207118713</v>
      </c>
      <c r="M614" s="306">
        <f t="shared" ca="1" si="277"/>
        <v>1.1498580742124855</v>
      </c>
      <c r="N614" s="304">
        <f t="shared" ca="1" si="278"/>
        <v>65.882014691416018</v>
      </c>
      <c r="P614" s="310">
        <f t="shared" ca="1" si="279"/>
        <v>23</v>
      </c>
      <c r="Q614" s="304">
        <f t="shared" ca="1" si="280"/>
        <v>0</v>
      </c>
      <c r="R614" s="306">
        <f t="shared" ca="1" si="281"/>
        <v>0</v>
      </c>
      <c r="S614" s="307">
        <f t="shared" ca="1" si="282"/>
        <v>10.637999999999975</v>
      </c>
      <c r="T614" s="304">
        <f t="shared" ca="1" si="262"/>
        <v>104.35877999999975</v>
      </c>
      <c r="U614" s="311">
        <f t="shared" ca="1" si="263"/>
        <v>0</v>
      </c>
      <c r="V614" s="306">
        <f t="shared" ca="1" si="264"/>
        <v>1.0085725183119088</v>
      </c>
      <c r="W614" s="304">
        <f t="shared" ca="1" si="265"/>
        <v>6.6823348097607047</v>
      </c>
      <c r="Y614" s="314" t="str">
        <f t="shared" ca="1" si="283"/>
        <v/>
      </c>
      <c r="Z614" s="315" t="str">
        <f t="shared" ca="1" si="284"/>
        <v/>
      </c>
      <c r="AA614" s="316" t="str">
        <f t="shared" ca="1" si="285"/>
        <v/>
      </c>
      <c r="AC614" s="310">
        <f t="shared" ca="1" si="286"/>
        <v>15.999999999999899</v>
      </c>
      <c r="AD614" s="323">
        <f t="shared" ca="1" si="287"/>
        <v>306.11167005310153</v>
      </c>
      <c r="AE614" s="324">
        <f t="shared" ca="1" si="266"/>
        <v>1937.9490024497907</v>
      </c>
      <c r="AG614" s="306">
        <f t="shared" ca="1" si="288"/>
        <v>-9.6516506728919484</v>
      </c>
      <c r="AH614" s="304">
        <f t="shared" ca="1" si="289"/>
        <v>-0.65907716261375016</v>
      </c>
    </row>
    <row r="615" spans="1:34" x14ac:dyDescent="0.25">
      <c r="A615" s="347">
        <f t="shared" ca="1" si="267"/>
        <v>0.1</v>
      </c>
      <c r="B615" s="304">
        <f t="shared" ca="1" si="268"/>
        <v>16.099999999999898</v>
      </c>
      <c r="D615" s="306">
        <f t="shared" ca="1" si="269"/>
        <v>-0.25667564198235093</v>
      </c>
      <c r="E615" s="307">
        <f t="shared" ca="1" si="270"/>
        <v>-10.38332269054002</v>
      </c>
      <c r="F615" s="304">
        <f t="shared" ca="1" si="271"/>
        <v>10.386494715786952</v>
      </c>
      <c r="G615" s="306">
        <f t="shared" ca="1" si="272"/>
        <v>16.289176202586603</v>
      </c>
      <c r="H615" s="307">
        <f t="shared" ca="1" si="273"/>
        <v>35.403264026851296</v>
      </c>
      <c r="I615" s="304">
        <f t="shared" ca="1" si="274"/>
        <v>38.970865593592563</v>
      </c>
      <c r="J615" s="306">
        <f t="shared" ca="1" si="275"/>
        <v>307.74187105157012</v>
      </c>
      <c r="K615" s="307">
        <f t="shared" ca="1" si="276"/>
        <v>1941.5412454659286</v>
      </c>
      <c r="L615" s="304">
        <f t="shared" ca="1" si="261"/>
        <v>1965.7790992488731</v>
      </c>
      <c r="M615" s="306">
        <f t="shared" ca="1" si="277"/>
        <v>1.1395719201444572</v>
      </c>
      <c r="N615" s="304">
        <f t="shared" ca="1" si="278"/>
        <v>65.292661475896679</v>
      </c>
      <c r="P615" s="310">
        <f t="shared" ca="1" si="279"/>
        <v>23</v>
      </c>
      <c r="Q615" s="304">
        <f t="shared" ca="1" si="280"/>
        <v>0</v>
      </c>
      <c r="R615" s="306">
        <f t="shared" ca="1" si="281"/>
        <v>0</v>
      </c>
      <c r="S615" s="307">
        <f t="shared" ca="1" si="282"/>
        <v>10.637999999999975</v>
      </c>
      <c r="T615" s="304">
        <f t="shared" ca="1" si="262"/>
        <v>104.35877999999975</v>
      </c>
      <c r="U615" s="311">
        <f t="shared" ca="1" si="263"/>
        <v>0</v>
      </c>
      <c r="V615" s="306">
        <f t="shared" ca="1" si="264"/>
        <v>1.0082068404777866</v>
      </c>
      <c r="W615" s="304">
        <f t="shared" ca="1" si="265"/>
        <v>6.3638191530307768</v>
      </c>
      <c r="Y615" s="314" t="str">
        <f t="shared" ca="1" si="283"/>
        <v/>
      </c>
      <c r="Z615" s="315" t="str">
        <f t="shared" ca="1" si="284"/>
        <v/>
      </c>
      <c r="AA615" s="316" t="str">
        <f t="shared" ca="1" si="285"/>
        <v/>
      </c>
      <c r="AC615" s="310" t="e">
        <f t="shared" ca="1" si="286"/>
        <v>#N/A</v>
      </c>
      <c r="AD615" s="323" t="e">
        <f t="shared" ca="1" si="287"/>
        <v>#N/A</v>
      </c>
      <c r="AE615" s="324">
        <f t="shared" ca="1" si="266"/>
        <v>1941.5412454659286</v>
      </c>
      <c r="AG615" s="306">
        <f t="shared" ca="1" si="288"/>
        <v>-9.5818024905047299</v>
      </c>
      <c r="AH615" s="304">
        <f t="shared" ca="1" si="289"/>
        <v>-0.62815706051520215</v>
      </c>
    </row>
    <row r="616" spans="1:34" x14ac:dyDescent="0.25">
      <c r="A616" s="347">
        <f t="shared" ca="1" si="267"/>
        <v>0.1</v>
      </c>
      <c r="B616" s="304">
        <f t="shared" ca="1" si="268"/>
        <v>16.1999999999999</v>
      </c>
      <c r="D616" s="306">
        <f t="shared" ca="1" si="269"/>
        <v>-0.25004427326480277</v>
      </c>
      <c r="E616" s="307">
        <f t="shared" ca="1" si="270"/>
        <v>-10.353451879622389</v>
      </c>
      <c r="F616" s="304">
        <f t="shared" ca="1" si="271"/>
        <v>10.356470825635967</v>
      </c>
      <c r="G616" s="306">
        <f t="shared" ca="1" si="272"/>
        <v>16.264171775260124</v>
      </c>
      <c r="H616" s="307">
        <f t="shared" ca="1" si="273"/>
        <v>34.367918838889061</v>
      </c>
      <c r="I616" s="304">
        <f t="shared" ca="1" si="274"/>
        <v>38.022061081057053</v>
      </c>
      <c r="J616" s="306">
        <f t="shared" ca="1" si="275"/>
        <v>309.36953845046247</v>
      </c>
      <c r="K616" s="307">
        <f t="shared" ca="1" si="276"/>
        <v>1945.0298046092155</v>
      </c>
      <c r="L616" s="304">
        <f t="shared" ca="1" si="261"/>
        <v>1969.4797414899233</v>
      </c>
      <c r="M616" s="306">
        <f t="shared" ca="1" si="277"/>
        <v>1.1287873996589159</v>
      </c>
      <c r="N616" s="304">
        <f t="shared" ca="1" si="278"/>
        <v>64.67475396800279</v>
      </c>
      <c r="P616" s="310">
        <f t="shared" ca="1" si="279"/>
        <v>23</v>
      </c>
      <c r="Q616" s="304">
        <f t="shared" ca="1" si="280"/>
        <v>0</v>
      </c>
      <c r="R616" s="306">
        <f t="shared" ca="1" si="281"/>
        <v>0</v>
      </c>
      <c r="S616" s="307">
        <f t="shared" ca="1" si="282"/>
        <v>10.637999999999975</v>
      </c>
      <c r="T616" s="304">
        <f t="shared" ca="1" si="262"/>
        <v>104.35877999999975</v>
      </c>
      <c r="U616" s="311">
        <f t="shared" ca="1" si="263"/>
        <v>0</v>
      </c>
      <c r="V616" s="306">
        <f t="shared" ca="1" si="264"/>
        <v>1.0078518318853369</v>
      </c>
      <c r="W616" s="304">
        <f t="shared" ca="1" si="265"/>
        <v>6.0555847313470945</v>
      </c>
      <c r="Y616" s="314" t="str">
        <f t="shared" ca="1" si="283"/>
        <v/>
      </c>
      <c r="Z616" s="315" t="str">
        <f t="shared" ca="1" si="284"/>
        <v/>
      </c>
      <c r="AA616" s="316" t="str">
        <f t="shared" ca="1" si="285"/>
        <v/>
      </c>
      <c r="AC616" s="310" t="e">
        <f t="shared" ca="1" si="286"/>
        <v>#N/A</v>
      </c>
      <c r="AD616" s="323" t="e">
        <f t="shared" ca="1" si="287"/>
        <v>#N/A</v>
      </c>
      <c r="AE616" s="324">
        <f t="shared" ca="1" si="266"/>
        <v>1945.0298046092155</v>
      </c>
      <c r="AG616" s="306">
        <f t="shared" ca="1" si="288"/>
        <v>-9.5101558578202336</v>
      </c>
      <c r="AH616" s="304">
        <f t="shared" ca="1" si="289"/>
        <v>-0.59821575042590636</v>
      </c>
    </row>
    <row r="617" spans="1:34" x14ac:dyDescent="0.25">
      <c r="A617" s="347">
        <f t="shared" ca="1" si="267"/>
        <v>0.1</v>
      </c>
      <c r="B617" s="304">
        <f t="shared" ca="1" si="268"/>
        <v>16.299999999999901</v>
      </c>
      <c r="D617" s="306">
        <f t="shared" ca="1" si="269"/>
        <v>-0.2434963169450457</v>
      </c>
      <c r="E617" s="307">
        <f t="shared" ca="1" si="270"/>
        <v>-10.32453352645139</v>
      </c>
      <c r="F617" s="304">
        <f t="shared" ca="1" si="271"/>
        <v>10.327404465555931</v>
      </c>
      <c r="G617" s="306">
        <f t="shared" ca="1" si="272"/>
        <v>16.239822143565618</v>
      </c>
      <c r="H617" s="307">
        <f t="shared" ca="1" si="273"/>
        <v>33.335465486243919</v>
      </c>
      <c r="I617" s="304">
        <f t="shared" ca="1" si="274"/>
        <v>37.080791286583995</v>
      </c>
      <c r="J617" s="306">
        <f t="shared" ca="1" si="275"/>
        <v>310.99473814640373</v>
      </c>
      <c r="K617" s="307">
        <f t="shared" ca="1" si="276"/>
        <v>1948.4149738254721</v>
      </c>
      <c r="L617" s="304">
        <f t="shared" ca="1" si="261"/>
        <v>1973.0784671122599</v>
      </c>
      <c r="M617" s="306">
        <f t="shared" ca="1" si="277"/>
        <v>1.1174705490839114</v>
      </c>
      <c r="N617" s="304">
        <f t="shared" ca="1" si="278"/>
        <v>64.026346192674822</v>
      </c>
      <c r="P617" s="310">
        <f t="shared" ca="1" si="279"/>
        <v>23</v>
      </c>
      <c r="Q617" s="304">
        <f t="shared" ca="1" si="280"/>
        <v>0</v>
      </c>
      <c r="R617" s="306">
        <f t="shared" ca="1" si="281"/>
        <v>0</v>
      </c>
      <c r="S617" s="307">
        <f t="shared" ca="1" si="282"/>
        <v>10.637999999999975</v>
      </c>
      <c r="T617" s="304">
        <f t="shared" ca="1" si="262"/>
        <v>104.35877999999975</v>
      </c>
      <c r="U617" s="311">
        <f t="shared" ca="1" si="263"/>
        <v>0</v>
      </c>
      <c r="V617" s="306">
        <f t="shared" ca="1" si="264"/>
        <v>1.007507452516951</v>
      </c>
      <c r="W617" s="304">
        <f t="shared" ca="1" si="265"/>
        <v>5.7575052027690417</v>
      </c>
      <c r="Y617" s="314" t="str">
        <f t="shared" ca="1" si="283"/>
        <v/>
      </c>
      <c r="Z617" s="315" t="str">
        <f t="shared" ca="1" si="284"/>
        <v/>
      </c>
      <c r="AA617" s="316" t="str">
        <f t="shared" ca="1" si="285"/>
        <v/>
      </c>
      <c r="AC617" s="310" t="e">
        <f t="shared" ca="1" si="286"/>
        <v>#N/A</v>
      </c>
      <c r="AD617" s="323" t="e">
        <f t="shared" ca="1" si="287"/>
        <v>#N/A</v>
      </c>
      <c r="AE617" s="324">
        <f t="shared" ca="1" si="266"/>
        <v>1948.4149738254721</v>
      </c>
      <c r="AG617" s="306">
        <f t="shared" ca="1" si="288"/>
        <v>-9.4364425812429662</v>
      </c>
      <c r="AH617" s="304">
        <f t="shared" ca="1" si="289"/>
        <v>-0.56924090349192602</v>
      </c>
    </row>
    <row r="618" spans="1:34" x14ac:dyDescent="0.25">
      <c r="A618" s="347">
        <f t="shared" ca="1" si="267"/>
        <v>0.1</v>
      </c>
      <c r="B618" s="304">
        <f t="shared" ca="1" si="268"/>
        <v>16.399999999999903</v>
      </c>
      <c r="D618" s="306">
        <f t="shared" ca="1" si="269"/>
        <v>-0.23703180761938655</v>
      </c>
      <c r="E618" s="307">
        <f t="shared" ca="1" si="270"/>
        <v>-10.296554937128345</v>
      </c>
      <c r="F618" s="304">
        <f t="shared" ca="1" si="271"/>
        <v>10.299282870720923</v>
      </c>
      <c r="G618" s="306">
        <f t="shared" ca="1" si="272"/>
        <v>16.21611896280368</v>
      </c>
      <c r="H618" s="307">
        <f t="shared" ca="1" si="273"/>
        <v>32.305809992531081</v>
      </c>
      <c r="I618" s="304">
        <f t="shared" ca="1" si="274"/>
        <v>36.147307970156255</v>
      </c>
      <c r="J618" s="306">
        <f t="shared" ca="1" si="275"/>
        <v>312.61753520172221</v>
      </c>
      <c r="K618" s="307">
        <f t="shared" ca="1" si="276"/>
        <v>1951.6970375994108</v>
      </c>
      <c r="L618" s="304">
        <f t="shared" ca="1" si="261"/>
        <v>1976.5755866877228</v>
      </c>
      <c r="M618" s="306">
        <f t="shared" ca="1" si="277"/>
        <v>1.1055845539115494</v>
      </c>
      <c r="N618" s="304">
        <f t="shared" ca="1" si="278"/>
        <v>63.345328833985612</v>
      </c>
      <c r="P618" s="310">
        <f t="shared" ca="1" si="279"/>
        <v>23</v>
      </c>
      <c r="Q618" s="304">
        <f t="shared" ca="1" si="280"/>
        <v>0</v>
      </c>
      <c r="R618" s="306">
        <f t="shared" ca="1" si="281"/>
        <v>0</v>
      </c>
      <c r="S618" s="307">
        <f t="shared" ca="1" si="282"/>
        <v>10.637999999999975</v>
      </c>
      <c r="T618" s="304">
        <f t="shared" ca="1" si="262"/>
        <v>104.35877999999975</v>
      </c>
      <c r="U618" s="311">
        <f t="shared" ca="1" si="263"/>
        <v>0</v>
      </c>
      <c r="V618" s="306">
        <f t="shared" ca="1" si="264"/>
        <v>1.0071736636612463</v>
      </c>
      <c r="W618" s="304">
        <f t="shared" ca="1" si="265"/>
        <v>5.4694589208245663</v>
      </c>
      <c r="Y618" s="314" t="str">
        <f t="shared" ca="1" si="283"/>
        <v/>
      </c>
      <c r="Z618" s="315" t="str">
        <f t="shared" ca="1" si="284"/>
        <v/>
      </c>
      <c r="AA618" s="316" t="str">
        <f t="shared" ca="1" si="285"/>
        <v/>
      </c>
      <c r="AC618" s="310" t="e">
        <f t="shared" ca="1" si="286"/>
        <v>#N/A</v>
      </c>
      <c r="AD618" s="323" t="e">
        <f t="shared" ca="1" si="287"/>
        <v>#N/A</v>
      </c>
      <c r="AE618" s="324">
        <f t="shared" ca="1" si="266"/>
        <v>1951.6970375994108</v>
      </c>
      <c r="AG618" s="306">
        <f t="shared" ca="1" si="288"/>
        <v>-9.3603667583421224</v>
      </c>
      <c r="AH618" s="304">
        <f t="shared" ca="1" si="289"/>
        <v>-0.54122064323830188</v>
      </c>
    </row>
    <row r="619" spans="1:34" x14ac:dyDescent="0.25">
      <c r="A619" s="347">
        <f t="shared" ca="1" si="267"/>
        <v>0.1</v>
      </c>
      <c r="B619" s="304">
        <f t="shared" ca="1" si="268"/>
        <v>16.499999999999904</v>
      </c>
      <c r="D619" s="306">
        <f t="shared" ca="1" si="269"/>
        <v>-0.23065099972401909</v>
      </c>
      <c r="E619" s="307">
        <f t="shared" ca="1" si="270"/>
        <v>-10.269503743698683</v>
      </c>
      <c r="F619" s="304">
        <f t="shared" ca="1" si="271"/>
        <v>10.272093604787438</v>
      </c>
      <c r="G619" s="306">
        <f t="shared" ca="1" si="272"/>
        <v>16.193053862831277</v>
      </c>
      <c r="H619" s="307">
        <f t="shared" ca="1" si="273"/>
        <v>31.278859618161214</v>
      </c>
      <c r="I619" s="304">
        <f t="shared" ca="1" si="274"/>
        <v>35.22189734266442</v>
      </c>
      <c r="J619" s="306">
        <f t="shared" ca="1" si="275"/>
        <v>314.23799384300395</v>
      </c>
      <c r="K619" s="307">
        <f t="shared" ca="1" si="276"/>
        <v>1954.8762710799454</v>
      </c>
      <c r="L619" s="304">
        <f t="shared" ca="1" si="261"/>
        <v>1979.9714018151644</v>
      </c>
      <c r="M619" s="306">
        <f t="shared" ca="1" si="277"/>
        <v>1.0930894887938836</v>
      </c>
      <c r="N619" s="304">
        <f t="shared" ca="1" si="278"/>
        <v>62.629414338002221</v>
      </c>
      <c r="P619" s="310">
        <f t="shared" ca="1" si="279"/>
        <v>23</v>
      </c>
      <c r="Q619" s="304">
        <f t="shared" ca="1" si="280"/>
        <v>0</v>
      </c>
      <c r="R619" s="306">
        <f t="shared" ca="1" si="281"/>
        <v>0</v>
      </c>
      <c r="S619" s="307">
        <f t="shared" ca="1" si="282"/>
        <v>10.637999999999975</v>
      </c>
      <c r="T619" s="304">
        <f t="shared" ca="1" si="262"/>
        <v>104.35877999999975</v>
      </c>
      <c r="U619" s="311">
        <f t="shared" ca="1" si="263"/>
        <v>0</v>
      </c>
      <c r="V619" s="306">
        <f t="shared" ca="1" si="264"/>
        <v>1.0068504278953845</v>
      </c>
      <c r="W619" s="304">
        <f t="shared" ca="1" si="265"/>
        <v>5.1913288221856515</v>
      </c>
      <c r="Y619" s="314" t="str">
        <f t="shared" ca="1" si="283"/>
        <v/>
      </c>
      <c r="Z619" s="315" t="str">
        <f t="shared" ca="1" si="284"/>
        <v/>
      </c>
      <c r="AA619" s="316" t="str">
        <f t="shared" ca="1" si="285"/>
        <v/>
      </c>
      <c r="AC619" s="310" t="e">
        <f t="shared" ca="1" si="286"/>
        <v>#N/A</v>
      </c>
      <c r="AD619" s="323" t="e">
        <f t="shared" ca="1" si="287"/>
        <v>#N/A</v>
      </c>
      <c r="AE619" s="324">
        <f t="shared" ca="1" si="266"/>
        <v>1954.8762710799454</v>
      </c>
      <c r="AG619" s="306">
        <f t="shared" ca="1" si="288"/>
        <v>-9.2816013017879015</v>
      </c>
      <c r="AH619" s="304">
        <f t="shared" ca="1" si="289"/>
        <v>-0.51414353457647854</v>
      </c>
    </row>
    <row r="620" spans="1:34" x14ac:dyDescent="0.25">
      <c r="A620" s="347">
        <f t="shared" ca="1" si="267"/>
        <v>0.1</v>
      </c>
      <c r="B620" s="304">
        <f t="shared" ca="1" si="268"/>
        <v>16.599999999999905</v>
      </c>
      <c r="D620" s="306">
        <f t="shared" ca="1" si="269"/>
        <v>-0.22435438683700037</v>
      </c>
      <c r="E620" s="307">
        <f t="shared" ca="1" si="270"/>
        <v>-10.243367876747506</v>
      </c>
      <c r="F620" s="304">
        <f t="shared" ca="1" si="271"/>
        <v>10.245824532426647</v>
      </c>
      <c r="G620" s="306">
        <f t="shared" ca="1" si="272"/>
        <v>16.170618424147577</v>
      </c>
      <c r="H620" s="307">
        <f t="shared" ca="1" si="273"/>
        <v>30.254522830486462</v>
      </c>
      <c r="I620" s="304">
        <f t="shared" ca="1" si="274"/>
        <v>34.304883791084436</v>
      </c>
      <c r="J620" s="306">
        <f t="shared" ca="1" si="275"/>
        <v>315.85617745735289</v>
      </c>
      <c r="K620" s="307">
        <f t="shared" ca="1" si="276"/>
        <v>1957.9529402023777</v>
      </c>
      <c r="L620" s="304">
        <f t="shared" ca="1" si="261"/>
        <v>1983.2662052495893</v>
      </c>
      <c r="M620" s="306">
        <f t="shared" ca="1" si="277"/>
        <v>1.0799420372097019</v>
      </c>
      <c r="N620" s="304">
        <f t="shared" ca="1" si="278"/>
        <v>61.876120850876028</v>
      </c>
      <c r="P620" s="310">
        <f t="shared" ca="1" si="279"/>
        <v>23</v>
      </c>
      <c r="Q620" s="304">
        <f t="shared" ca="1" si="280"/>
        <v>0</v>
      </c>
      <c r="R620" s="306">
        <f t="shared" ca="1" si="281"/>
        <v>0</v>
      </c>
      <c r="S620" s="307">
        <f t="shared" ca="1" si="282"/>
        <v>10.637999999999975</v>
      </c>
      <c r="T620" s="304">
        <f t="shared" ca="1" si="262"/>
        <v>104.35877999999975</v>
      </c>
      <c r="U620" s="311">
        <f t="shared" ca="1" si="263"/>
        <v>0</v>
      </c>
      <c r="V620" s="306">
        <f t="shared" ca="1" si="264"/>
        <v>1.0065377090679013</v>
      </c>
      <c r="W620" s="304">
        <f t="shared" ca="1" si="265"/>
        <v>4.9230023187301937</v>
      </c>
      <c r="Y620" s="314" t="str">
        <f t="shared" ca="1" si="283"/>
        <v/>
      </c>
      <c r="Z620" s="315" t="str">
        <f t="shared" ca="1" si="284"/>
        <v/>
      </c>
      <c r="AA620" s="316" t="str">
        <f t="shared" ca="1" si="285"/>
        <v/>
      </c>
      <c r="AC620" s="310" t="e">
        <f t="shared" ca="1" si="286"/>
        <v>#N/A</v>
      </c>
      <c r="AD620" s="323" t="e">
        <f t="shared" ca="1" si="287"/>
        <v>#N/A</v>
      </c>
      <c r="AE620" s="324">
        <f t="shared" ca="1" si="266"/>
        <v>1957.9529402023777</v>
      </c>
      <c r="AG620" s="306">
        <f t="shared" ca="1" si="288"/>
        <v>-9.1997840250325709</v>
      </c>
      <c r="AH620" s="304">
        <f t="shared" ca="1" si="289"/>
        <v>-0.48799857324550328</v>
      </c>
    </row>
    <row r="621" spans="1:34" x14ac:dyDescent="0.25">
      <c r="A621" s="347">
        <f t="shared" ca="1" si="267"/>
        <v>0.1</v>
      </c>
      <c r="B621" s="304">
        <f t="shared" ca="1" si="268"/>
        <v>16.699999999999907</v>
      </c>
      <c r="D621" s="306">
        <f t="shared" ca="1" si="269"/>
        <v>-0.21814272356755421</v>
      </c>
      <c r="E621" s="307">
        <f t="shared" ca="1" si="270"/>
        <v>-10.218135535535461</v>
      </c>
      <c r="F621" s="304">
        <f t="shared" ca="1" si="271"/>
        <v>10.220463789399092</v>
      </c>
      <c r="G621" s="306">
        <f t="shared" ca="1" si="272"/>
        <v>16.14880415179082</v>
      </c>
      <c r="H621" s="307">
        <f t="shared" ca="1" si="273"/>
        <v>29.232709276932916</v>
      </c>
      <c r="I621" s="304">
        <f t="shared" ca="1" si="274"/>
        <v>33.396634069956448</v>
      </c>
      <c r="J621" s="306">
        <f t="shared" ca="1" si="275"/>
        <v>317.47214858614979</v>
      </c>
      <c r="K621" s="307">
        <f t="shared" ca="1" si="276"/>
        <v>1960.9273018077486</v>
      </c>
      <c r="L621" s="304">
        <f t="shared" ca="1" si="261"/>
        <v>1986.4602810282724</v>
      </c>
      <c r="M621" s="306">
        <f t="shared" ca="1" si="277"/>
        <v>1.0660951911349341</v>
      </c>
      <c r="N621" s="304">
        <f t="shared" ca="1" si="278"/>
        <v>61.082755011224542</v>
      </c>
      <c r="P621" s="310">
        <f t="shared" ca="1" si="279"/>
        <v>23</v>
      </c>
      <c r="Q621" s="304">
        <f t="shared" ca="1" si="280"/>
        <v>0</v>
      </c>
      <c r="R621" s="306">
        <f t="shared" ca="1" si="281"/>
        <v>0</v>
      </c>
      <c r="S621" s="307">
        <f t="shared" ca="1" si="282"/>
        <v>10.637999999999975</v>
      </c>
      <c r="T621" s="304">
        <f t="shared" ca="1" si="262"/>
        <v>104.35877999999975</v>
      </c>
      <c r="U621" s="311">
        <f t="shared" ca="1" si="263"/>
        <v>0</v>
      </c>
      <c r="V621" s="306">
        <f t="shared" ca="1" si="264"/>
        <v>1.0062354722820148</v>
      </c>
      <c r="W621" s="304">
        <f t="shared" ca="1" si="265"/>
        <v>4.6643711937621619</v>
      </c>
      <c r="Y621" s="314" t="str">
        <f t="shared" ca="1" si="283"/>
        <v/>
      </c>
      <c r="Z621" s="315" t="str">
        <f t="shared" ca="1" si="284"/>
        <v/>
      </c>
      <c r="AA621" s="316" t="str">
        <f t="shared" ca="1" si="285"/>
        <v/>
      </c>
      <c r="AC621" s="310" t="e">
        <f t="shared" ca="1" si="286"/>
        <v>#N/A</v>
      </c>
      <c r="AD621" s="323" t="e">
        <f t="shared" ca="1" si="287"/>
        <v>#N/A</v>
      </c>
      <c r="AE621" s="324">
        <f t="shared" ca="1" si="266"/>
        <v>1960.9273018077486</v>
      </c>
      <c r="AG621" s="306">
        <f t="shared" ca="1" si="288"/>
        <v>-9.1145132423080479</v>
      </c>
      <c r="AH621" s="304">
        <f t="shared" ca="1" si="289"/>
        <v>-0.46277517566555793</v>
      </c>
    </row>
    <row r="622" spans="1:34" x14ac:dyDescent="0.25">
      <c r="A622" s="347">
        <f t="shared" ca="1" si="267"/>
        <v>0.1</v>
      </c>
      <c r="B622" s="304">
        <f t="shared" ca="1" si="268"/>
        <v>16.799999999999908</v>
      </c>
      <c r="D622" s="306">
        <f t="shared" ca="1" si="269"/>
        <v>-0.21201705034309268</v>
      </c>
      <c r="E622" s="307">
        <f t="shared" ca="1" si="270"/>
        <v>-10.193795155119593</v>
      </c>
      <c r="F622" s="304">
        <f t="shared" ca="1" si="271"/>
        <v>10.195999749616311</v>
      </c>
      <c r="G622" s="306">
        <f t="shared" ca="1" si="272"/>
        <v>16.127602446756512</v>
      </c>
      <c r="H622" s="307">
        <f t="shared" ca="1" si="273"/>
        <v>28.213329761420955</v>
      </c>
      <c r="I622" s="304">
        <f t="shared" ca="1" si="274"/>
        <v>32.497562014823636</v>
      </c>
      <c r="J622" s="306">
        <f t="shared" ca="1" si="275"/>
        <v>319.08596891607715</v>
      </c>
      <c r="K622" s="307">
        <f t="shared" ca="1" si="276"/>
        <v>1963.7996037596663</v>
      </c>
      <c r="L622" s="304">
        <f t="shared" ca="1" si="261"/>
        <v>1989.5539045941264</v>
      </c>
      <c r="M622" s="306">
        <f t="shared" ca="1" si="277"/>
        <v>1.0514979319563649</v>
      </c>
      <c r="N622" s="304">
        <f t="shared" ca="1" si="278"/>
        <v>60.246393667833921</v>
      </c>
      <c r="P622" s="310">
        <f t="shared" ca="1" si="279"/>
        <v>23</v>
      </c>
      <c r="Q622" s="304">
        <f t="shared" ca="1" si="280"/>
        <v>0</v>
      </c>
      <c r="R622" s="306">
        <f t="shared" ca="1" si="281"/>
        <v>0</v>
      </c>
      <c r="S622" s="307">
        <f t="shared" ca="1" si="282"/>
        <v>10.637999999999975</v>
      </c>
      <c r="T622" s="304">
        <f t="shared" ca="1" si="262"/>
        <v>104.35877999999975</v>
      </c>
      <c r="U622" s="311">
        <f t="shared" ca="1" si="263"/>
        <v>0</v>
      </c>
      <c r="V622" s="306">
        <f t="shared" ca="1" si="264"/>
        <v>1.0059436838793774</v>
      </c>
      <c r="W622" s="304">
        <f t="shared" ca="1" si="265"/>
        <v>4.4153315021599111</v>
      </c>
      <c r="Y622" s="314" t="str">
        <f t="shared" ca="1" si="283"/>
        <v/>
      </c>
      <c r="Z622" s="315" t="str">
        <f t="shared" ca="1" si="284"/>
        <v/>
      </c>
      <c r="AA622" s="316" t="str">
        <f t="shared" ca="1" si="285"/>
        <v/>
      </c>
      <c r="AC622" s="310" t="e">
        <f t="shared" ca="1" si="286"/>
        <v>#N/A</v>
      </c>
      <c r="AD622" s="323" t="e">
        <f t="shared" ca="1" si="287"/>
        <v>#N/A</v>
      </c>
      <c r="AE622" s="324">
        <f t="shared" ca="1" si="266"/>
        <v>1963.7996037596663</v>
      </c>
      <c r="AG622" s="306">
        <f t="shared" ca="1" si="288"/>
        <v>-9.0253428351392628</v>
      </c>
      <c r="AH622" s="304">
        <f t="shared" ca="1" si="289"/>
        <v>-0.43846316918238137</v>
      </c>
    </row>
    <row r="623" spans="1:34" x14ac:dyDescent="0.25">
      <c r="A623" s="347">
        <f t="shared" ca="1" si="267"/>
        <v>0.1</v>
      </c>
      <c r="B623" s="304">
        <f t="shared" ca="1" si="268"/>
        <v>16.89999999999991</v>
      </c>
      <c r="D623" s="306">
        <f t="shared" ca="1" si="269"/>
        <v>-0.20597872143285692</v>
      </c>
      <c r="E623" s="307">
        <f t="shared" ca="1" si="270"/>
        <v>-10.170335369798863</v>
      </c>
      <c r="F623" s="304">
        <f t="shared" ca="1" si="271"/>
        <v>10.172420988528978</v>
      </c>
      <c r="G623" s="306">
        <f t="shared" ca="1" si="272"/>
        <v>16.107004574613228</v>
      </c>
      <c r="H623" s="307">
        <f t="shared" ca="1" si="273"/>
        <v>27.196296224441067</v>
      </c>
      <c r="I623" s="304">
        <f t="shared" ca="1" si="274"/>
        <v>31.608133837576663</v>
      </c>
      <c r="J623" s="306">
        <f t="shared" ca="1" si="275"/>
        <v>320.69769926714565</v>
      </c>
      <c r="K623" s="307">
        <f t="shared" ca="1" si="276"/>
        <v>1966.5700850589594</v>
      </c>
      <c r="L623" s="304">
        <f t="shared" ca="1" si="261"/>
        <v>1992.5473429166102</v>
      </c>
      <c r="M623" s="306">
        <f t="shared" ca="1" si="277"/>
        <v>1.0360948951552975</v>
      </c>
      <c r="N623" s="304">
        <f t="shared" ca="1" si="278"/>
        <v>59.36386466744807</v>
      </c>
      <c r="P623" s="310">
        <f t="shared" ca="1" si="279"/>
        <v>23</v>
      </c>
      <c r="Q623" s="304">
        <f t="shared" ca="1" si="280"/>
        <v>0</v>
      </c>
      <c r="R623" s="306">
        <f t="shared" ca="1" si="281"/>
        <v>0</v>
      </c>
      <c r="S623" s="307">
        <f t="shared" ca="1" si="282"/>
        <v>10.637999999999975</v>
      </c>
      <c r="T623" s="304">
        <f t="shared" ca="1" si="262"/>
        <v>104.35877999999975</v>
      </c>
      <c r="U623" s="311">
        <f t="shared" ca="1" si="263"/>
        <v>0</v>
      </c>
      <c r="V623" s="306">
        <f t="shared" ca="1" si="264"/>
        <v>1.0056623114242318</v>
      </c>
      <c r="W623" s="304">
        <f t="shared" ca="1" si="265"/>
        <v>4.1757834742179067</v>
      </c>
      <c r="Y623" s="314" t="str">
        <f t="shared" ca="1" si="283"/>
        <v/>
      </c>
      <c r="Z623" s="315" t="str">
        <f t="shared" ca="1" si="284"/>
        <v/>
      </c>
      <c r="AA623" s="316" t="str">
        <f t="shared" ca="1" si="285"/>
        <v/>
      </c>
      <c r="AC623" s="310" t="e">
        <f t="shared" ca="1" si="286"/>
        <v>#N/A</v>
      </c>
      <c r="AD623" s="323" t="e">
        <f t="shared" ca="1" si="287"/>
        <v>#N/A</v>
      </c>
      <c r="AE623" s="324">
        <f t="shared" ca="1" si="266"/>
        <v>1966.5700850589594</v>
      </c>
      <c r="AG623" s="306">
        <f t="shared" ca="1" si="288"/>
        <v>-8.9317767397978134</v>
      </c>
      <c r="AH623" s="304">
        <f t="shared" ca="1" si="289"/>
        <v>-0.4150527826809477</v>
      </c>
    </row>
    <row r="624" spans="1:34" x14ac:dyDescent="0.25">
      <c r="A624" s="347">
        <f t="shared" ca="1" si="267"/>
        <v>0.1</v>
      </c>
      <c r="B624" s="304">
        <f t="shared" ca="1" si="268"/>
        <v>16.999999999999911</v>
      </c>
      <c r="D624" s="306">
        <f t="shared" ca="1" si="269"/>
        <v>-0.20002943657295361</v>
      </c>
      <c r="E624" s="307">
        <f t="shared" ca="1" si="270"/>
        <v>-10.147744972098682</v>
      </c>
      <c r="F624" s="304">
        <f t="shared" ca="1" si="271"/>
        <v>10.149716242055725</v>
      </c>
      <c r="G624" s="306">
        <f t="shared" ca="1" si="272"/>
        <v>16.087001630955932</v>
      </c>
      <c r="H624" s="307">
        <f t="shared" ca="1" si="273"/>
        <v>26.1815217272312</v>
      </c>
      <c r="I624" s="304">
        <f t="shared" ca="1" si="274"/>
        <v>30.728874067037637</v>
      </c>
      <c r="J624" s="306">
        <f t="shared" ca="1" si="275"/>
        <v>322.30739957742412</v>
      </c>
      <c r="K624" s="307">
        <f t="shared" ca="1" si="276"/>
        <v>1969.2389759565431</v>
      </c>
      <c r="L624" s="304">
        <f t="shared" ca="1" si="261"/>
        <v>1995.4408546105133</v>
      </c>
      <c r="M624" s="306">
        <f t="shared" ca="1" si="277"/>
        <v>1.01982602307923</v>
      </c>
      <c r="N624" s="304">
        <f t="shared" ca="1" si="278"/>
        <v>58.431726960051165</v>
      </c>
      <c r="P624" s="310">
        <f t="shared" ca="1" si="279"/>
        <v>23</v>
      </c>
      <c r="Q624" s="304">
        <f t="shared" ca="1" si="280"/>
        <v>0</v>
      </c>
      <c r="R624" s="306">
        <f t="shared" ca="1" si="281"/>
        <v>0</v>
      </c>
      <c r="S624" s="307">
        <f t="shared" ca="1" si="282"/>
        <v>10.637999999999975</v>
      </c>
      <c r="T624" s="304">
        <f t="shared" ca="1" si="262"/>
        <v>104.35877999999975</v>
      </c>
      <c r="U624" s="311">
        <f t="shared" ca="1" si="263"/>
        <v>0</v>
      </c>
      <c r="V624" s="306">
        <f t="shared" ca="1" si="264"/>
        <v>1.0053913236879222</v>
      </c>
      <c r="W624" s="304">
        <f t="shared" ca="1" si="265"/>
        <v>3.94563142294006</v>
      </c>
      <c r="Y624" s="314" t="str">
        <f t="shared" ca="1" si="283"/>
        <v/>
      </c>
      <c r="Z624" s="315" t="str">
        <f t="shared" ca="1" si="284"/>
        <v/>
      </c>
      <c r="AA624" s="316" t="str">
        <f t="shared" ca="1" si="285"/>
        <v/>
      </c>
      <c r="AC624" s="310">
        <f t="shared" ca="1" si="286"/>
        <v>16.999999999999911</v>
      </c>
      <c r="AD624" s="323">
        <f t="shared" ca="1" si="287"/>
        <v>322.30739957742412</v>
      </c>
      <c r="AE624" s="324">
        <f t="shared" ca="1" si="266"/>
        <v>1969.2389759565431</v>
      </c>
      <c r="AG624" s="306">
        <f t="shared" ca="1" si="288"/>
        <v>-8.8332628163353171</v>
      </c>
      <c r="AH624" s="304">
        <f t="shared" ca="1" si="289"/>
        <v>-0.39253463754633544</v>
      </c>
    </row>
    <row r="625" spans="1:34" x14ac:dyDescent="0.25">
      <c r="A625" s="347">
        <f t="shared" ca="1" si="267"/>
        <v>0.1</v>
      </c>
      <c r="B625" s="304">
        <f t="shared" ca="1" si="268"/>
        <v>17.099999999999913</v>
      </c>
      <c r="D625" s="306">
        <f t="shared" ca="1" si="269"/>
        <v>-0.19417127657778238</v>
      </c>
      <c r="E625" s="307">
        <f t="shared" ca="1" si="270"/>
        <v>-10.12601286635932</v>
      </c>
      <c r="F625" s="304">
        <f t="shared" ca="1" si="271"/>
        <v>10.127874360117346</v>
      </c>
      <c r="G625" s="306">
        <f t="shared" ca="1" si="272"/>
        <v>16.067584503298153</v>
      </c>
      <c r="H625" s="307">
        <f t="shared" ca="1" si="273"/>
        <v>25.168920440595269</v>
      </c>
      <c r="I625" s="304">
        <f t="shared" ca="1" si="274"/>
        <v>29.860372199884605</v>
      </c>
      <c r="J625" s="306">
        <f t="shared" ca="1" si="275"/>
        <v>323.91512888413683</v>
      </c>
      <c r="K625" s="307">
        <f t="shared" ca="1" si="276"/>
        <v>1971.8064980649344</v>
      </c>
      <c r="L625" s="304">
        <f t="shared" ca="1" si="261"/>
        <v>1998.2346900529797</v>
      </c>
      <c r="M625" s="306">
        <f t="shared" ca="1" si="277"/>
        <v>1.002626212573954</v>
      </c>
      <c r="N625" s="304">
        <f t="shared" ca="1" si="278"/>
        <v>57.446250409674079</v>
      </c>
      <c r="P625" s="310">
        <f t="shared" ca="1" si="279"/>
        <v>23</v>
      </c>
      <c r="Q625" s="304">
        <f t="shared" ca="1" si="280"/>
        <v>0</v>
      </c>
      <c r="R625" s="306">
        <f t="shared" ca="1" si="281"/>
        <v>0</v>
      </c>
      <c r="S625" s="307">
        <f t="shared" ca="1" si="282"/>
        <v>10.637999999999975</v>
      </c>
      <c r="T625" s="304">
        <f t="shared" ca="1" si="262"/>
        <v>104.35877999999975</v>
      </c>
      <c r="U625" s="311">
        <f t="shared" ca="1" si="263"/>
        <v>0</v>
      </c>
      <c r="V625" s="306">
        <f t="shared" ca="1" si="264"/>
        <v>1.0051306906337194</v>
      </c>
      <c r="W625" s="304">
        <f t="shared" ca="1" si="265"/>
        <v>3.7247836545323931</v>
      </c>
      <c r="Y625" s="314" t="str">
        <f t="shared" ca="1" si="283"/>
        <v/>
      </c>
      <c r="Z625" s="315" t="str">
        <f t="shared" ca="1" si="284"/>
        <v/>
      </c>
      <c r="AA625" s="316" t="str">
        <f t="shared" ca="1" si="285"/>
        <v/>
      </c>
      <c r="AC625" s="310" t="e">
        <f t="shared" ca="1" si="286"/>
        <v>#N/A</v>
      </c>
      <c r="AD625" s="323" t="e">
        <f t="shared" ca="1" si="287"/>
        <v>#N/A</v>
      </c>
      <c r="AE625" s="324">
        <f t="shared" ca="1" si="266"/>
        <v>1971.8064980649344</v>
      </c>
      <c r="AG625" s="306">
        <f t="shared" ca="1" si="288"/>
        <v>-8.7291860719861312</v>
      </c>
      <c r="AH625" s="304">
        <f t="shared" ca="1" si="289"/>
        <v>-0.37089973894905709</v>
      </c>
    </row>
    <row r="626" spans="1:34" x14ac:dyDescent="0.25">
      <c r="A626" s="347">
        <f t="shared" ca="1" si="267"/>
        <v>0.1</v>
      </c>
      <c r="B626" s="304">
        <f t="shared" ca="1" si="268"/>
        <v>17.199999999999914</v>
      </c>
      <c r="D626" s="306">
        <f t="shared" ca="1" si="269"/>
        <v>-0.18840674333293461</v>
      </c>
      <c r="E626" s="307">
        <f t="shared" ca="1" si="270"/>
        <v>-10.105128015816248</v>
      </c>
      <c r="F626" s="304">
        <f t="shared" ca="1" si="271"/>
        <v>10.106884253664319</v>
      </c>
      <c r="G626" s="306">
        <f t="shared" ca="1" si="272"/>
        <v>16.048743828964859</v>
      </c>
      <c r="H626" s="307">
        <f t="shared" ca="1" si="273"/>
        <v>24.158407639013642</v>
      </c>
      <c r="I626" s="304">
        <f t="shared" ca="1" si="274"/>
        <v>29.003290126130352</v>
      </c>
      <c r="J626" s="306">
        <f t="shared" ca="1" si="275"/>
        <v>325.52094530074999</v>
      </c>
      <c r="K626" s="307">
        <f t="shared" ca="1" si="276"/>
        <v>1974.2728644689148</v>
      </c>
      <c r="L626" s="304">
        <f t="shared" ca="1" si="261"/>
        <v>2000.9290914991936</v>
      </c>
      <c r="M626" s="306">
        <f t="shared" ca="1" si="277"/>
        <v>0.98442496756421949</v>
      </c>
      <c r="N626" s="304">
        <f t="shared" ca="1" si="278"/>
        <v>56.403395888732739</v>
      </c>
      <c r="P626" s="310">
        <f t="shared" ca="1" si="279"/>
        <v>23</v>
      </c>
      <c r="Q626" s="304">
        <f t="shared" ca="1" si="280"/>
        <v>0</v>
      </c>
      <c r="R626" s="306">
        <f t="shared" ca="1" si="281"/>
        <v>0</v>
      </c>
      <c r="S626" s="307">
        <f t="shared" ca="1" si="282"/>
        <v>10.637999999999975</v>
      </c>
      <c r="T626" s="304">
        <f t="shared" ca="1" si="262"/>
        <v>104.35877999999975</v>
      </c>
      <c r="U626" s="311">
        <f t="shared" ca="1" si="263"/>
        <v>0</v>
      </c>
      <c r="V626" s="306">
        <f t="shared" ca="1" si="264"/>
        <v>1.004880383401904</v>
      </c>
      <c r="W626" s="304">
        <f t="shared" ca="1" si="265"/>
        <v>3.5131523818287156</v>
      </c>
      <c r="Y626" s="314" t="str">
        <f t="shared" ca="1" si="283"/>
        <v/>
      </c>
      <c r="Z626" s="315" t="str">
        <f t="shared" ca="1" si="284"/>
        <v/>
      </c>
      <c r="AA626" s="316" t="str">
        <f t="shared" ca="1" si="285"/>
        <v/>
      </c>
      <c r="AC626" s="310" t="e">
        <f t="shared" ca="1" si="286"/>
        <v>#N/A</v>
      </c>
      <c r="AD626" s="323" t="e">
        <f t="shared" ca="1" si="287"/>
        <v>#N/A</v>
      </c>
      <c r="AE626" s="324">
        <f t="shared" ca="1" si="266"/>
        <v>1974.2728644689148</v>
      </c>
      <c r="AG626" s="306">
        <f t="shared" ca="1" si="288"/>
        <v>-8.6188612324998815</v>
      </c>
      <c r="AH626" s="304">
        <f t="shared" ca="1" si="289"/>
        <v>-0.35013946743113383</v>
      </c>
    </row>
    <row r="627" spans="1:34" x14ac:dyDescent="0.25">
      <c r="A627" s="347">
        <f t="shared" ca="1" si="267"/>
        <v>0.1</v>
      </c>
      <c r="B627" s="304">
        <f t="shared" ca="1" si="268"/>
        <v>17.299999999999915</v>
      </c>
      <c r="D627" s="306">
        <f t="shared" ca="1" si="269"/>
        <v>-0.18273880455821068</v>
      </c>
      <c r="E627" s="307">
        <f t="shared" ca="1" si="270"/>
        <v>-10.085079381852658</v>
      </c>
      <c r="F627" s="304">
        <f t="shared" ca="1" si="271"/>
        <v>10.086734833877658</v>
      </c>
      <c r="G627" s="306">
        <f t="shared" ca="1" si="272"/>
        <v>16.030469948509037</v>
      </c>
      <c r="H627" s="307">
        <f t="shared" ca="1" si="273"/>
        <v>23.149899700828378</v>
      </c>
      <c r="I627" s="304">
        <f t="shared" ca="1" si="274"/>
        <v>28.158370388367029</v>
      </c>
      <c r="J627" s="306">
        <f t="shared" ca="1" si="275"/>
        <v>327.1249059896237</v>
      </c>
      <c r="K627" s="307">
        <f t="shared" ca="1" si="276"/>
        <v>1976.6382798359068</v>
      </c>
      <c r="L627" s="304">
        <f t="shared" ca="1" si="261"/>
        <v>2003.5242931972084</v>
      </c>
      <c r="M627" s="306">
        <f t="shared" ca="1" si="277"/>
        <v>0.96514607109149864</v>
      </c>
      <c r="N627" s="304">
        <f t="shared" ca="1" si="278"/>
        <v>55.298796487176183</v>
      </c>
      <c r="P627" s="310">
        <f t="shared" ca="1" si="279"/>
        <v>23</v>
      </c>
      <c r="Q627" s="304">
        <f t="shared" ca="1" si="280"/>
        <v>0</v>
      </c>
      <c r="R627" s="306">
        <f t="shared" ca="1" si="281"/>
        <v>0</v>
      </c>
      <c r="S627" s="307">
        <f t="shared" ca="1" si="282"/>
        <v>10.637999999999975</v>
      </c>
      <c r="T627" s="304">
        <f t="shared" ca="1" si="262"/>
        <v>104.35877999999975</v>
      </c>
      <c r="U627" s="311">
        <f t="shared" ca="1" si="263"/>
        <v>0</v>
      </c>
      <c r="V627" s="306">
        <f t="shared" ca="1" si="264"/>
        <v>1.0046403742950383</v>
      </c>
      <c r="W627" s="304">
        <f t="shared" ca="1" si="265"/>
        <v>3.3106536403645035</v>
      </c>
      <c r="Y627" s="314" t="str">
        <f t="shared" ca="1" si="283"/>
        <v/>
      </c>
      <c r="Z627" s="315" t="str">
        <f t="shared" ca="1" si="284"/>
        <v/>
      </c>
      <c r="AA627" s="316" t="str">
        <f t="shared" ca="1" si="285"/>
        <v/>
      </c>
      <c r="AC627" s="310" t="e">
        <f t="shared" ca="1" si="286"/>
        <v>#N/A</v>
      </c>
      <c r="AD627" s="323" t="e">
        <f t="shared" ca="1" si="287"/>
        <v>#N/A</v>
      </c>
      <c r="AE627" s="324">
        <f t="shared" ca="1" si="266"/>
        <v>1976.6382798359068</v>
      </c>
      <c r="AG627" s="306">
        <f t="shared" ca="1" si="288"/>
        <v>-8.5015246880017372</v>
      </c>
      <c r="AH627" s="304">
        <f t="shared" ca="1" si="289"/>
        <v>-0.33024557076788152</v>
      </c>
    </row>
    <row r="628" spans="1:34" x14ac:dyDescent="0.25">
      <c r="A628" s="347">
        <f t="shared" ca="1" si="267"/>
        <v>0.1</v>
      </c>
      <c r="B628" s="304">
        <f t="shared" ca="1" si="268"/>
        <v>17.399999999999917</v>
      </c>
      <c r="D628" s="306">
        <f t="shared" ca="1" si="269"/>
        <v>-0.17717094369745126</v>
      </c>
      <c r="E628" s="307">
        <f t="shared" ca="1" si="270"/>
        <v>-10.065855853862761</v>
      </c>
      <c r="F628" s="304">
        <f t="shared" ca="1" si="271"/>
        <v>10.067414941981575</v>
      </c>
      <c r="G628" s="306">
        <f t="shared" ca="1" si="272"/>
        <v>16.01275285413929</v>
      </c>
      <c r="H628" s="307">
        <f t="shared" ca="1" si="273"/>
        <v>22.143314115442102</v>
      </c>
      <c r="I628" s="304">
        <f t="shared" ca="1" si="274"/>
        <v>27.326445322853161</v>
      </c>
      <c r="J628" s="306">
        <f t="shared" ca="1" si="275"/>
        <v>328.72706712975611</v>
      </c>
      <c r="K628" s="307">
        <f t="shared" ca="1" si="276"/>
        <v>1978.9029405267204</v>
      </c>
      <c r="L628" s="304">
        <f t="shared" ca="1" si="261"/>
        <v>2006.0205215024675</v>
      </c>
      <c r="M628" s="306">
        <f t="shared" ca="1" si="277"/>
        <v>0.94470729713222301</v>
      </c>
      <c r="N628" s="304">
        <f t="shared" ca="1" si="278"/>
        <v>54.127741000887795</v>
      </c>
      <c r="P628" s="310">
        <f t="shared" ca="1" si="279"/>
        <v>23</v>
      </c>
      <c r="Q628" s="304">
        <f t="shared" ca="1" si="280"/>
        <v>0</v>
      </c>
      <c r="R628" s="306">
        <f t="shared" ca="1" si="281"/>
        <v>0</v>
      </c>
      <c r="S628" s="307">
        <f t="shared" ca="1" si="282"/>
        <v>10.637999999999975</v>
      </c>
      <c r="T628" s="304">
        <f t="shared" ca="1" si="262"/>
        <v>104.35877999999975</v>
      </c>
      <c r="U628" s="311">
        <f t="shared" ca="1" si="263"/>
        <v>0</v>
      </c>
      <c r="V628" s="306">
        <f t="shared" ca="1" si="264"/>
        <v>1.0044106367633707</v>
      </c>
      <c r="W628" s="304">
        <f t="shared" ca="1" si="265"/>
        <v>3.1172072067907881</v>
      </c>
      <c r="Y628" s="314" t="str">
        <f t="shared" ca="1" si="283"/>
        <v/>
      </c>
      <c r="Z628" s="315" t="str">
        <f t="shared" ca="1" si="284"/>
        <v/>
      </c>
      <c r="AA628" s="316" t="str">
        <f t="shared" ca="1" si="285"/>
        <v/>
      </c>
      <c r="AC628" s="310" t="e">
        <f t="shared" ca="1" si="286"/>
        <v>#N/A</v>
      </c>
      <c r="AD628" s="323" t="e">
        <f t="shared" ca="1" si="287"/>
        <v>#N/A</v>
      </c>
      <c r="AE628" s="324">
        <f t="shared" ca="1" si="266"/>
        <v>1978.9029405267204</v>
      </c>
      <c r="AG628" s="306">
        <f t="shared" ca="1" si="288"/>
        <v>-8.3763258901534883</v>
      </c>
      <c r="AH628" s="304">
        <f t="shared" ca="1" si="289"/>
        <v>-0.31121015607863428</v>
      </c>
    </row>
    <row r="629" spans="1:34" x14ac:dyDescent="0.25">
      <c r="A629" s="347">
        <f t="shared" ca="1" si="267"/>
        <v>0.1</v>
      </c>
      <c r="B629" s="304">
        <f t="shared" ca="1" si="268"/>
        <v>17.499999999999918</v>
      </c>
      <c r="D629" s="306">
        <f t="shared" ca="1" si="269"/>
        <v>-0.17170721522197144</v>
      </c>
      <c r="E629" s="307">
        <f t="shared" ca="1" si="270"/>
        <v>-10.047446167887683</v>
      </c>
      <c r="F629" s="304">
        <f t="shared" ca="1" si="271"/>
        <v>10.048913267829521</v>
      </c>
      <c r="G629" s="306">
        <f t="shared" ca="1" si="272"/>
        <v>15.995582132617093</v>
      </c>
      <c r="H629" s="307">
        <f t="shared" ca="1" si="273"/>
        <v>21.138569498653332</v>
      </c>
      <c r="I629" s="304">
        <f t="shared" ca="1" si="274"/>
        <v>26.508447110509813</v>
      </c>
      <c r="J629" s="306">
        <f t="shared" ca="1" si="275"/>
        <v>330.3274838790939</v>
      </c>
      <c r="K629" s="307">
        <f t="shared" ca="1" si="276"/>
        <v>1981.0670347074251</v>
      </c>
      <c r="L629" s="304">
        <f t="shared" ca="1" si="261"/>
        <v>2008.4179949926668</v>
      </c>
      <c r="M629" s="306">
        <f t="shared" ca="1" si="277"/>
        <v>0.92302019006005331</v>
      </c>
      <c r="N629" s="304">
        <f t="shared" ca="1" si="278"/>
        <v>52.885161295804153</v>
      </c>
      <c r="P629" s="310">
        <f t="shared" ca="1" si="279"/>
        <v>23</v>
      </c>
      <c r="Q629" s="304">
        <f t="shared" ca="1" si="280"/>
        <v>0</v>
      </c>
      <c r="R629" s="306">
        <f t="shared" ca="1" si="281"/>
        <v>0</v>
      </c>
      <c r="S629" s="307">
        <f t="shared" ca="1" si="282"/>
        <v>10.637999999999975</v>
      </c>
      <c r="T629" s="304">
        <f t="shared" ca="1" si="262"/>
        <v>104.35877999999975</v>
      </c>
      <c r="U629" s="311">
        <f t="shared" ca="1" si="263"/>
        <v>0</v>
      </c>
      <c r="V629" s="306">
        <f t="shared" ca="1" si="264"/>
        <v>1.0041911453902812</v>
      </c>
      <c r="W629" s="304">
        <f t="shared" ca="1" si="265"/>
        <v>2.9327365192903385</v>
      </c>
      <c r="Y629" s="314" t="str">
        <f t="shared" ca="1" si="283"/>
        <v/>
      </c>
      <c r="Z629" s="315" t="str">
        <f t="shared" ca="1" si="284"/>
        <v/>
      </c>
      <c r="AA629" s="316" t="str">
        <f t="shared" ca="1" si="285"/>
        <v/>
      </c>
      <c r="AC629" s="310" t="e">
        <f t="shared" ca="1" si="286"/>
        <v>#N/A</v>
      </c>
      <c r="AD629" s="323" t="e">
        <f t="shared" ca="1" si="287"/>
        <v>#N/A</v>
      </c>
      <c r="AE629" s="324">
        <f t="shared" ca="1" si="266"/>
        <v>1981.0670347074251</v>
      </c>
      <c r="AG629" s="306">
        <f t="shared" ca="1" si="288"/>
        <v>-8.2423183510733047</v>
      </c>
      <c r="AH629" s="304">
        <f t="shared" ca="1" si="289"/>
        <v>-0.29302568215743519</v>
      </c>
    </row>
    <row r="630" spans="1:34" x14ac:dyDescent="0.25">
      <c r="A630" s="347">
        <f t="shared" ca="1" si="267"/>
        <v>0.1</v>
      </c>
      <c r="B630" s="304">
        <f t="shared" ca="1" si="268"/>
        <v>17.59999999999992</v>
      </c>
      <c r="D630" s="306">
        <f t="shared" ca="1" si="269"/>
        <v>-0.1663523055096455</v>
      </c>
      <c r="E630" s="307">
        <f t="shared" ca="1" si="270"/>
        <v>-10.029838811874583</v>
      </c>
      <c r="F630" s="304">
        <f t="shared" ca="1" si="271"/>
        <v>10.031218255114089</v>
      </c>
      <c r="G630" s="306">
        <f t="shared" ca="1" si="272"/>
        <v>15.978946902066129</v>
      </c>
      <c r="H630" s="307">
        <f t="shared" ca="1" si="273"/>
        <v>20.135585617465875</v>
      </c>
      <c r="I630" s="304">
        <f t="shared" ca="1" si="274"/>
        <v>25.705418733359458</v>
      </c>
      <c r="J630" s="306">
        <f t="shared" ca="1" si="275"/>
        <v>331.92621033082804</v>
      </c>
      <c r="K630" s="307">
        <f t="shared" ca="1" si="276"/>
        <v>1983.1307424632312</v>
      </c>
      <c r="L630" s="304">
        <f t="shared" ca="1" si="261"/>
        <v>2010.7169245837047</v>
      </c>
      <c r="M630" s="306">
        <f t="shared" ca="1" si="277"/>
        <v>0.89998994923538944</v>
      </c>
      <c r="N630" s="304">
        <f t="shared" ca="1" si="278"/>
        <v>51.565625695381023</v>
      </c>
      <c r="P630" s="310">
        <f t="shared" ca="1" si="279"/>
        <v>23</v>
      </c>
      <c r="Q630" s="304">
        <f t="shared" ca="1" si="280"/>
        <v>0</v>
      </c>
      <c r="R630" s="306">
        <f t="shared" ca="1" si="281"/>
        <v>0</v>
      </c>
      <c r="S630" s="307">
        <f t="shared" ca="1" si="282"/>
        <v>10.637999999999975</v>
      </c>
      <c r="T630" s="304">
        <f t="shared" ca="1" si="262"/>
        <v>104.35877999999975</v>
      </c>
      <c r="U630" s="311">
        <f t="shared" ca="1" si="263"/>
        <v>0</v>
      </c>
      <c r="V630" s="306">
        <f t="shared" ca="1" si="264"/>
        <v>1.0039818758776804</v>
      </c>
      <c r="W630" s="304">
        <f t="shared" ca="1" si="265"/>
        <v>2.7571685996222248</v>
      </c>
      <c r="Y630" s="314" t="str">
        <f t="shared" ca="1" si="283"/>
        <v/>
      </c>
      <c r="Z630" s="315" t="str">
        <f t="shared" ca="1" si="284"/>
        <v/>
      </c>
      <c r="AA630" s="316" t="str">
        <f t="shared" ca="1" si="285"/>
        <v/>
      </c>
      <c r="AC630" s="310" t="e">
        <f t="shared" ca="1" si="286"/>
        <v>#N/A</v>
      </c>
      <c r="AD630" s="323" t="e">
        <f t="shared" ca="1" si="287"/>
        <v>#N/A</v>
      </c>
      <c r="AE630" s="324">
        <f t="shared" ca="1" si="266"/>
        <v>1983.1307424632312</v>
      </c>
      <c r="AG630" s="306">
        <f t="shared" ca="1" si="288"/>
        <v>-8.0984504997924969</v>
      </c>
      <c r="AH630" s="304">
        <f t="shared" ca="1" si="289"/>
        <v>-0.27568495199194826</v>
      </c>
    </row>
    <row r="631" spans="1:34" x14ac:dyDescent="0.25">
      <c r="A631" s="347">
        <f t="shared" ca="1" si="267"/>
        <v>0.1</v>
      </c>
      <c r="B631" s="304">
        <f t="shared" ca="1" si="268"/>
        <v>17.699999999999921</v>
      </c>
      <c r="D631" s="306">
        <f t="shared" ca="1" si="269"/>
        <v>-0.16111159925969751</v>
      </c>
      <c r="E631" s="307">
        <f t="shared" ca="1" si="270"/>
        <v>-10.013021915070075</v>
      </c>
      <c r="F631" s="304">
        <f t="shared" ca="1" si="271"/>
        <v>10.014317990711579</v>
      </c>
      <c r="G631" s="306">
        <f t="shared" ca="1" si="272"/>
        <v>15.962835742140159</v>
      </c>
      <c r="H631" s="307">
        <f t="shared" ca="1" si="273"/>
        <v>19.134283425958866</v>
      </c>
      <c r="I631" s="304">
        <f t="shared" ca="1" si="274"/>
        <v>24.918525782145931</v>
      </c>
      <c r="J631" s="306">
        <f t="shared" ca="1" si="275"/>
        <v>333.52329946303837</v>
      </c>
      <c r="K631" s="307">
        <f t="shared" ca="1" si="276"/>
        <v>1985.0942359154024</v>
      </c>
      <c r="L631" s="304">
        <f t="shared" ca="1" si="261"/>
        <v>2012.9175136476076</v>
      </c>
      <c r="M631" s="306">
        <f t="shared" ca="1" si="277"/>
        <v>0.87551546824184745</v>
      </c>
      <c r="N631" s="304">
        <f t="shared" ca="1" si="278"/>
        <v>50.163341228677922</v>
      </c>
      <c r="P631" s="310">
        <f t="shared" ca="1" si="279"/>
        <v>23</v>
      </c>
      <c r="Q631" s="304">
        <f t="shared" ca="1" si="280"/>
        <v>0</v>
      </c>
      <c r="R631" s="306">
        <f t="shared" ca="1" si="281"/>
        <v>0</v>
      </c>
      <c r="S631" s="307">
        <f t="shared" ca="1" si="282"/>
        <v>10.637999999999975</v>
      </c>
      <c r="T631" s="304">
        <f t="shared" ca="1" si="262"/>
        <v>104.35877999999975</v>
      </c>
      <c r="U631" s="311">
        <f t="shared" ca="1" si="263"/>
        <v>0</v>
      </c>
      <c r="V631" s="306">
        <f t="shared" ca="1" si="264"/>
        <v>1.0037828050312547</v>
      </c>
      <c r="W631" s="304">
        <f t="shared" ca="1" si="265"/>
        <v>2.5904339763765072</v>
      </c>
      <c r="Y631" s="314" t="str">
        <f t="shared" ca="1" si="283"/>
        <v/>
      </c>
      <c r="Z631" s="315" t="str">
        <f t="shared" ca="1" si="284"/>
        <v/>
      </c>
      <c r="AA631" s="316" t="str">
        <f t="shared" ca="1" si="285"/>
        <v/>
      </c>
      <c r="AC631" s="310" t="e">
        <f t="shared" ca="1" si="286"/>
        <v>#N/A</v>
      </c>
      <c r="AD631" s="323" t="e">
        <f t="shared" ca="1" si="287"/>
        <v>#N/A</v>
      </c>
      <c r="AE631" s="324">
        <f t="shared" ca="1" si="266"/>
        <v>1985.0942359154024</v>
      </c>
      <c r="AG631" s="306">
        <f t="shared" ca="1" si="288"/>
        <v>-7.9435567989927547</v>
      </c>
      <c r="AH631" s="304">
        <f t="shared" ca="1" si="289"/>
        <v>-0.25918110543544193</v>
      </c>
    </row>
    <row r="632" spans="1:34" x14ac:dyDescent="0.25">
      <c r="A632" s="347">
        <f t="shared" ca="1" si="267"/>
        <v>0.1</v>
      </c>
      <c r="B632" s="304">
        <f t="shared" ca="1" si="268"/>
        <v>17.799999999999923</v>
      </c>
      <c r="D632" s="306">
        <f t="shared" ca="1" si="269"/>
        <v>-0.15599125109490236</v>
      </c>
      <c r="E632" s="307">
        <f t="shared" ca="1" si="270"/>
        <v>-9.9969831187036711</v>
      </c>
      <c r="F632" s="304">
        <f t="shared" ca="1" si="271"/>
        <v>9.9982000753167739</v>
      </c>
      <c r="G632" s="306">
        <f t="shared" ca="1" si="272"/>
        <v>15.947236617030669</v>
      </c>
      <c r="H632" s="307">
        <f t="shared" ca="1" si="273"/>
        <v>18.134585114088498</v>
      </c>
      <c r="I632" s="304">
        <f t="shared" ca="1" si="274"/>
        <v>24.149068987844728</v>
      </c>
      <c r="J632" s="306">
        <f t="shared" ca="1" si="275"/>
        <v>335.11880308099688</v>
      </c>
      <c r="K632" s="307">
        <f t="shared" ca="1" si="276"/>
        <v>1986.9576793424046</v>
      </c>
      <c r="L632" s="304">
        <f t="shared" ca="1" si="261"/>
        <v>2015.0199581334657</v>
      </c>
      <c r="M632" s="306">
        <f t="shared" ca="1" si="277"/>
        <v>0.84948959298856608</v>
      </c>
      <c r="N632" s="304">
        <f t="shared" ca="1" si="278"/>
        <v>48.672168418530923</v>
      </c>
      <c r="P632" s="310">
        <f t="shared" ca="1" si="279"/>
        <v>23</v>
      </c>
      <c r="Q632" s="304">
        <f t="shared" ca="1" si="280"/>
        <v>0</v>
      </c>
      <c r="R632" s="306">
        <f t="shared" ca="1" si="281"/>
        <v>0</v>
      </c>
      <c r="S632" s="307">
        <f t="shared" ca="1" si="282"/>
        <v>10.637999999999975</v>
      </c>
      <c r="T632" s="304">
        <f t="shared" ca="1" si="262"/>
        <v>104.35877999999975</v>
      </c>
      <c r="U632" s="311">
        <f t="shared" ca="1" si="263"/>
        <v>0</v>
      </c>
      <c r="V632" s="306">
        <f t="shared" ca="1" si="264"/>
        <v>1.0035939107454321</v>
      </c>
      <c r="W632" s="304">
        <f t="shared" ca="1" si="265"/>
        <v>2.4324666089675633</v>
      </c>
      <c r="Y632" s="314" t="str">
        <f t="shared" ca="1" si="283"/>
        <v/>
      </c>
      <c r="Z632" s="315" t="str">
        <f t="shared" ca="1" si="284"/>
        <v/>
      </c>
      <c r="AA632" s="316" t="str">
        <f t="shared" ca="1" si="285"/>
        <v/>
      </c>
      <c r="AC632" s="310" t="e">
        <f t="shared" ca="1" si="286"/>
        <v>#N/A</v>
      </c>
      <c r="AD632" s="323" t="e">
        <f t="shared" ca="1" si="287"/>
        <v>#N/A</v>
      </c>
      <c r="AE632" s="324">
        <f t="shared" ca="1" si="266"/>
        <v>1986.9576793424046</v>
      </c>
      <c r="AG632" s="306">
        <f t="shared" ca="1" si="288"/>
        <v>-7.7763497251141773</v>
      </c>
      <c r="AH632" s="304">
        <f t="shared" ca="1" si="289"/>
        <v>-0.24350761199252804</v>
      </c>
    </row>
    <row r="633" spans="1:34" x14ac:dyDescent="0.25">
      <c r="A633" s="347">
        <f t="shared" ca="1" si="267"/>
        <v>0.1</v>
      </c>
      <c r="B633" s="304">
        <f t="shared" ca="1" si="268"/>
        <v>17.899999999999924</v>
      </c>
      <c r="D633" s="306">
        <f t="shared" ca="1" si="269"/>
        <v>-0.15099826155159124</v>
      </c>
      <c r="E633" s="307">
        <f t="shared" ca="1" si="270"/>
        <v>-9.9817094247703331</v>
      </c>
      <c r="F633" s="304">
        <f t="shared" ca="1" si="271"/>
        <v>9.9828514721766997</v>
      </c>
      <c r="G633" s="306">
        <f t="shared" ca="1" si="272"/>
        <v>15.932136790875509</v>
      </c>
      <c r="H633" s="307">
        <f t="shared" ca="1" si="273"/>
        <v>17.136414171611463</v>
      </c>
      <c r="I633" s="304">
        <f t="shared" ca="1" si="274"/>
        <v>23.398497246280051</v>
      </c>
      <c r="J633" s="306">
        <f t="shared" ca="1" si="275"/>
        <v>336.71277175139221</v>
      </c>
      <c r="K633" s="307">
        <f t="shared" ca="1" si="276"/>
        <v>1988.7212293066896</v>
      </c>
      <c r="L633" s="304">
        <f t="shared" ca="1" si="261"/>
        <v>2017.0244466926067</v>
      </c>
      <c r="M633" s="306">
        <f t="shared" ca="1" si="277"/>
        <v>0.82179968028451822</v>
      </c>
      <c r="N633" s="304">
        <f t="shared" ca="1" si="278"/>
        <v>47.085653285503305</v>
      </c>
      <c r="P633" s="310">
        <f t="shared" ca="1" si="279"/>
        <v>23</v>
      </c>
      <c r="Q633" s="304">
        <f t="shared" ca="1" si="280"/>
        <v>0</v>
      </c>
      <c r="R633" s="306">
        <f t="shared" ca="1" si="281"/>
        <v>0</v>
      </c>
      <c r="S633" s="307">
        <f t="shared" ca="1" si="282"/>
        <v>10.637999999999975</v>
      </c>
      <c r="T633" s="304">
        <f t="shared" ca="1" si="262"/>
        <v>104.35877999999975</v>
      </c>
      <c r="U633" s="311">
        <f t="shared" ca="1" si="263"/>
        <v>0</v>
      </c>
      <c r="V633" s="306">
        <f t="shared" ca="1" si="264"/>
        <v>1.0034151719879247</v>
      </c>
      <c r="W633" s="304">
        <f t="shared" ca="1" si="265"/>
        <v>2.2832038118308344</v>
      </c>
      <c r="Y633" s="314" t="str">
        <f t="shared" ca="1" si="283"/>
        <v/>
      </c>
      <c r="Z633" s="315" t="str">
        <f t="shared" ca="1" si="284"/>
        <v/>
      </c>
      <c r="AA633" s="316" t="str">
        <f t="shared" ca="1" si="285"/>
        <v/>
      </c>
      <c r="AC633" s="310" t="e">
        <f t="shared" ca="1" si="286"/>
        <v>#N/A</v>
      </c>
      <c r="AD633" s="323" t="e">
        <f t="shared" ca="1" si="287"/>
        <v>#N/A</v>
      </c>
      <c r="AE633" s="324">
        <f t="shared" ca="1" si="266"/>
        <v>1988.7212293066896</v>
      </c>
      <c r="AG633" s="306">
        <f t="shared" ca="1" si="288"/>
        <v>-7.5954134813911365</v>
      </c>
      <c r="AH633" s="304">
        <f t="shared" ca="1" si="289"/>
        <v>-0.22865826367433437</v>
      </c>
    </row>
    <row r="634" spans="1:34" x14ac:dyDescent="0.25">
      <c r="A634" s="347">
        <f t="shared" ca="1" si="267"/>
        <v>0.1</v>
      </c>
      <c r="B634" s="304">
        <f t="shared" ca="1" si="268"/>
        <v>17.999999999999925</v>
      </c>
      <c r="D634" s="306">
        <f t="shared" ca="1" si="269"/>
        <v>-0.14614055601930914</v>
      </c>
      <c r="E634" s="307">
        <f t="shared" ca="1" si="270"/>
        <v>-9.9671870194242072</v>
      </c>
      <c r="F634" s="304">
        <f t="shared" ca="1" si="271"/>
        <v>9.9682583304352654</v>
      </c>
      <c r="G634" s="306">
        <f t="shared" ca="1" si="272"/>
        <v>15.917522735273579</v>
      </c>
      <c r="H634" s="307">
        <f t="shared" ca="1" si="273"/>
        <v>16.139695469669043</v>
      </c>
      <c r="I634" s="304">
        <f t="shared" ca="1" si="274"/>
        <v>22.668420762849951</v>
      </c>
      <c r="J634" s="306">
        <f t="shared" ca="1" si="275"/>
        <v>338.30525472769966</v>
      </c>
      <c r="K634" s="307">
        <f t="shared" ca="1" si="276"/>
        <v>1990.3850347887535</v>
      </c>
      <c r="L634" s="304">
        <f t="shared" ca="1" si="261"/>
        <v>2018.931160809452</v>
      </c>
      <c r="M634" s="306">
        <f t="shared" ca="1" si="277"/>
        <v>0.7923285581669115</v>
      </c>
      <c r="N634" s="304">
        <f t="shared" ca="1" si="278"/>
        <v>45.397082370649784</v>
      </c>
      <c r="P634" s="310">
        <f t="shared" ca="1" si="279"/>
        <v>23</v>
      </c>
      <c r="Q634" s="304">
        <f t="shared" ca="1" si="280"/>
        <v>0</v>
      </c>
      <c r="R634" s="306">
        <f t="shared" ca="1" si="281"/>
        <v>0</v>
      </c>
      <c r="S634" s="307">
        <f t="shared" ca="1" si="282"/>
        <v>10.637999999999975</v>
      </c>
      <c r="T634" s="304">
        <f t="shared" ca="1" si="262"/>
        <v>104.35877999999975</v>
      </c>
      <c r="U634" s="311">
        <f t="shared" ca="1" si="263"/>
        <v>0</v>
      </c>
      <c r="V634" s="306">
        <f t="shared" ca="1" si="264"/>
        <v>1.0032465687836789</v>
      </c>
      <c r="W634" s="304">
        <f t="shared" ca="1" si="265"/>
        <v>2.1425861782129965</v>
      </c>
      <c r="Y634" s="314" t="str">
        <f t="shared" ca="1" si="283"/>
        <v/>
      </c>
      <c r="Z634" s="315" t="str">
        <f t="shared" ca="1" si="284"/>
        <v/>
      </c>
      <c r="AA634" s="316" t="str">
        <f t="shared" ca="1" si="285"/>
        <v/>
      </c>
      <c r="AC634" s="310">
        <f t="shared" ca="1" si="286"/>
        <v>17.999999999999925</v>
      </c>
      <c r="AD634" s="323">
        <f t="shared" ca="1" si="287"/>
        <v>338.30525472769966</v>
      </c>
      <c r="AE634" s="324">
        <f t="shared" ca="1" si="266"/>
        <v>1990.3850347887535</v>
      </c>
      <c r="AG634" s="306">
        <f t="shared" ca="1" si="288"/>
        <v>-7.3992006579602752</v>
      </c>
      <c r="AH634" s="304">
        <f t="shared" ca="1" si="289"/>
        <v>-0.21462716787279937</v>
      </c>
    </row>
    <row r="635" spans="1:34" x14ac:dyDescent="0.25">
      <c r="A635" s="347">
        <f t="shared" ca="1" si="267"/>
        <v>0.1</v>
      </c>
      <c r="B635" s="304">
        <f t="shared" ca="1" si="268"/>
        <v>18.099999999999927</v>
      </c>
      <c r="D635" s="306">
        <f t="shared" ca="1" si="269"/>
        <v>-0.14142706431577107</v>
      </c>
      <c r="E635" s="307">
        <f t="shared" ca="1" si="270"/>
        <v>-9.9534010673135445</v>
      </c>
      <c r="F635" s="304">
        <f t="shared" ca="1" si="271"/>
        <v>9.9544057794184475</v>
      </c>
      <c r="G635" s="306">
        <f t="shared" ca="1" si="272"/>
        <v>15.903380028842001</v>
      </c>
      <c r="H635" s="307">
        <f t="shared" ca="1" si="273"/>
        <v>15.144355362937688</v>
      </c>
      <c r="I635" s="304">
        <f t="shared" ca="1" si="274"/>
        <v>21.960623754818762</v>
      </c>
      <c r="J635" s="306">
        <f t="shared" ca="1" si="275"/>
        <v>339.89629986590546</v>
      </c>
      <c r="K635" s="307">
        <f t="shared" ca="1" si="276"/>
        <v>1991.9492373303838</v>
      </c>
      <c r="L635" s="304">
        <f t="shared" ca="1" si="261"/>
        <v>2020.7402749397634</v>
      </c>
      <c r="M635" s="306">
        <f t="shared" ca="1" si="277"/>
        <v>0.76095601009947111</v>
      </c>
      <c r="N635" s="304">
        <f t="shared" ca="1" si="278"/>
        <v>43.599567773814144</v>
      </c>
      <c r="P635" s="310">
        <f t="shared" ca="1" si="279"/>
        <v>23</v>
      </c>
      <c r="Q635" s="304">
        <f t="shared" ca="1" si="280"/>
        <v>0</v>
      </c>
      <c r="R635" s="306">
        <f t="shared" ca="1" si="281"/>
        <v>0</v>
      </c>
      <c r="S635" s="307">
        <f t="shared" ca="1" si="282"/>
        <v>10.637999999999975</v>
      </c>
      <c r="T635" s="304">
        <f t="shared" ca="1" si="262"/>
        <v>104.35877999999975</v>
      </c>
      <c r="U635" s="311">
        <f t="shared" ca="1" si="263"/>
        <v>0</v>
      </c>
      <c r="V635" s="306">
        <f t="shared" ca="1" si="264"/>
        <v>1.0030880821980355</v>
      </c>
      <c r="W635" s="304">
        <f t="shared" ca="1" si="265"/>
        <v>2.0105575028585205</v>
      </c>
      <c r="Y635" s="314" t="str">
        <f t="shared" ca="1" si="283"/>
        <v/>
      </c>
      <c r="Z635" s="315" t="str">
        <f t="shared" ca="1" si="284"/>
        <v/>
      </c>
      <c r="AA635" s="316" t="str">
        <f t="shared" ca="1" si="285"/>
        <v/>
      </c>
      <c r="AC635" s="310" t="e">
        <f t="shared" ca="1" si="286"/>
        <v>#N/A</v>
      </c>
      <c r="AD635" s="323" t="e">
        <f t="shared" ca="1" si="287"/>
        <v>#N/A</v>
      </c>
      <c r="AE635" s="324">
        <f t="shared" ca="1" si="266"/>
        <v>1991.9492373303838</v>
      </c>
      <c r="AG635" s="306">
        <f t="shared" ca="1" si="288"/>
        <v>-7.1860334837489086</v>
      </c>
      <c r="AH635" s="304">
        <f t="shared" ca="1" si="289"/>
        <v>-0.20140874019674765</v>
      </c>
    </row>
    <row r="636" spans="1:34" x14ac:dyDescent="0.25">
      <c r="A636" s="347">
        <f t="shared" ca="1" si="267"/>
        <v>0.1</v>
      </c>
      <c r="B636" s="304">
        <f t="shared" ca="1" si="268"/>
        <v>18.199999999999928</v>
      </c>
      <c r="D636" s="306">
        <f t="shared" ca="1" si="269"/>
        <v>-0.13686779741651173</v>
      </c>
      <c r="E636" s="307">
        <f t="shared" ca="1" si="270"/>
        <v>-9.9403354732175853</v>
      </c>
      <c r="F636" s="304">
        <f t="shared" ca="1" si="271"/>
        <v>9.9412776902205842</v>
      </c>
      <c r="G636" s="306">
        <f t="shared" ca="1" si="272"/>
        <v>15.88969324910035</v>
      </c>
      <c r="H636" s="307">
        <f t="shared" ca="1" si="273"/>
        <v>14.150321815615929</v>
      </c>
      <c r="I636" s="304">
        <f t="shared" ca="1" si="274"/>
        <v>21.277075904268454</v>
      </c>
      <c r="J636" s="306">
        <f t="shared" ca="1" si="275"/>
        <v>341.4859535298026</v>
      </c>
      <c r="K636" s="307">
        <f t="shared" ca="1" si="276"/>
        <v>1993.4139711893115</v>
      </c>
      <c r="L636" s="304">
        <f t="shared" ca="1" si="261"/>
        <v>2022.4519566582787</v>
      </c>
      <c r="M636" s="306">
        <f t="shared" ca="1" si="277"/>
        <v>0.72756092486116997</v>
      </c>
      <c r="N636" s="304">
        <f t="shared" ca="1" si="278"/>
        <v>41.686170333179852</v>
      </c>
      <c r="P636" s="310">
        <f t="shared" ca="1" si="279"/>
        <v>23</v>
      </c>
      <c r="Q636" s="304">
        <f t="shared" ca="1" si="280"/>
        <v>0</v>
      </c>
      <c r="R636" s="306">
        <f t="shared" ca="1" si="281"/>
        <v>0</v>
      </c>
      <c r="S636" s="307">
        <f t="shared" ca="1" si="282"/>
        <v>10.637999999999975</v>
      </c>
      <c r="T636" s="304">
        <f t="shared" ca="1" si="262"/>
        <v>104.35877999999975</v>
      </c>
      <c r="U636" s="311">
        <f t="shared" ca="1" si="263"/>
        <v>0</v>
      </c>
      <c r="V636" s="306">
        <f t="shared" ca="1" si="264"/>
        <v>1.0029396943188755</v>
      </c>
      <c r="W636" s="304">
        <f t="shared" ca="1" si="265"/>
        <v>1.8870647027964365</v>
      </c>
      <c r="Y636" s="314" t="str">
        <f t="shared" ca="1" si="283"/>
        <v/>
      </c>
      <c r="Z636" s="315" t="str">
        <f t="shared" ca="1" si="284"/>
        <v/>
      </c>
      <c r="AA636" s="316" t="str">
        <f t="shared" ca="1" si="285"/>
        <v/>
      </c>
      <c r="AC636" s="310" t="e">
        <f t="shared" ca="1" si="286"/>
        <v>#N/A</v>
      </c>
      <c r="AD636" s="323" t="e">
        <f t="shared" ca="1" si="287"/>
        <v>#N/A</v>
      </c>
      <c r="AE636" s="324">
        <f t="shared" ca="1" si="266"/>
        <v>1993.4139711893115</v>
      </c>
      <c r="AG636" s="306">
        <f t="shared" ca="1" si="288"/>
        <v>-6.9541118291659458</v>
      </c>
      <c r="AH636" s="304">
        <f t="shared" ca="1" si="289"/>
        <v>-0.1889976972042231</v>
      </c>
    </row>
    <row r="637" spans="1:34" x14ac:dyDescent="0.25">
      <c r="A637" s="347">
        <f t="shared" ca="1" si="267"/>
        <v>0.1</v>
      </c>
      <c r="B637" s="304">
        <f t="shared" ca="1" si="268"/>
        <v>18.29999999999993</v>
      </c>
      <c r="D637" s="306">
        <f t="shared" ca="1" si="269"/>
        <v>-0.13247391635703001</v>
      </c>
      <c r="E637" s="307">
        <f t="shared" ca="1" si="270"/>
        <v>-9.9279726077300516</v>
      </c>
      <c r="F637" s="304">
        <f t="shared" ca="1" si="271"/>
        <v>9.9288564013361178</v>
      </c>
      <c r="G637" s="306">
        <f t="shared" ca="1" si="272"/>
        <v>15.876445857464647</v>
      </c>
      <c r="H637" s="307">
        <f t="shared" ca="1" si="273"/>
        <v>13.157524554842924</v>
      </c>
      <c r="I637" s="304">
        <f t="shared" ca="1" si="274"/>
        <v>20.619941451815542</v>
      </c>
      <c r="J637" s="306">
        <f t="shared" ca="1" si="275"/>
        <v>343.07426048513088</v>
      </c>
      <c r="K637" s="307">
        <f t="shared" ca="1" si="276"/>
        <v>1994.7793635078344</v>
      </c>
      <c r="L637" s="304">
        <f t="shared" ca="1" si="261"/>
        <v>2024.0663668180796</v>
      </c>
      <c r="M637" s="306">
        <f t="shared" ca="1" si="277"/>
        <v>0.69202426854328447</v>
      </c>
      <c r="N637" s="304">
        <f t="shared" ca="1" si="278"/>
        <v>39.650069908158095</v>
      </c>
      <c r="P637" s="310">
        <f t="shared" ca="1" si="279"/>
        <v>23</v>
      </c>
      <c r="Q637" s="304">
        <f t="shared" ca="1" si="280"/>
        <v>0</v>
      </c>
      <c r="R637" s="306">
        <f t="shared" ca="1" si="281"/>
        <v>0</v>
      </c>
      <c r="S637" s="307">
        <f t="shared" ca="1" si="282"/>
        <v>10.637999999999975</v>
      </c>
      <c r="T637" s="304">
        <f t="shared" ca="1" si="262"/>
        <v>104.35877999999975</v>
      </c>
      <c r="U637" s="311">
        <f t="shared" ca="1" si="263"/>
        <v>0</v>
      </c>
      <c r="V637" s="306">
        <f t="shared" ca="1" si="264"/>
        <v>1.0028013882374878</v>
      </c>
      <c r="W637" s="304">
        <f t="shared" ca="1" si="265"/>
        <v>1.7720577353203442</v>
      </c>
      <c r="Y637" s="314" t="str">
        <f t="shared" ca="1" si="283"/>
        <v/>
      </c>
      <c r="Z637" s="315" t="str">
        <f t="shared" ca="1" si="284"/>
        <v/>
      </c>
      <c r="AA637" s="316" t="str">
        <f t="shared" ca="1" si="285"/>
        <v/>
      </c>
      <c r="AC637" s="310" t="e">
        <f t="shared" ca="1" si="286"/>
        <v>#N/A</v>
      </c>
      <c r="AD637" s="323" t="e">
        <f t="shared" ca="1" si="287"/>
        <v>#N/A</v>
      </c>
      <c r="AE637" s="324">
        <f t="shared" ca="1" si="266"/>
        <v>1994.7793635078344</v>
      </c>
      <c r="AG637" s="306">
        <f t="shared" ca="1" si="288"/>
        <v>-6.7015306949116482</v>
      </c>
      <c r="AH637" s="304">
        <f t="shared" ca="1" si="289"/>
        <v>-0.17738904895623622</v>
      </c>
    </row>
    <row r="638" spans="1:34" x14ac:dyDescent="0.25">
      <c r="A638" s="347">
        <f t="shared" ca="1" si="267"/>
        <v>0.1</v>
      </c>
      <c r="B638" s="304">
        <f t="shared" ca="1" si="268"/>
        <v>18.399999999999931</v>
      </c>
      <c r="D638" s="306">
        <f t="shared" ca="1" si="269"/>
        <v>-0.12825778646608527</v>
      </c>
      <c r="E638" s="307">
        <f t="shared" ca="1" si="270"/>
        <v>-9.9162929946618927</v>
      </c>
      <c r="F638" s="304">
        <f t="shared" ca="1" si="271"/>
        <v>9.9171224060092005</v>
      </c>
      <c r="G638" s="306">
        <f t="shared" ca="1" si="272"/>
        <v>15.863620078818039</v>
      </c>
      <c r="H638" s="307">
        <f t="shared" ca="1" si="273"/>
        <v>12.165895255376736</v>
      </c>
      <c r="I638" s="304">
        <f t="shared" ca="1" si="274"/>
        <v>19.991584463715654</v>
      </c>
      <c r="J638" s="306">
        <f t="shared" ca="1" si="275"/>
        <v>344.66126378194502</v>
      </c>
      <c r="K638" s="307">
        <f t="shared" ca="1" si="276"/>
        <v>1996.0455344983454</v>
      </c>
      <c r="L638" s="304">
        <f t="shared" ca="1" si="261"/>
        <v>2025.5836597244147</v>
      </c>
      <c r="M638" s="306">
        <f t="shared" ca="1" si="277"/>
        <v>0.65423303831015456</v>
      </c>
      <c r="N638" s="304">
        <f t="shared" ca="1" si="278"/>
        <v>37.484791913192559</v>
      </c>
      <c r="P638" s="310">
        <f t="shared" ca="1" si="279"/>
        <v>23</v>
      </c>
      <c r="Q638" s="304">
        <f t="shared" ca="1" si="280"/>
        <v>0</v>
      </c>
      <c r="R638" s="306">
        <f t="shared" ca="1" si="281"/>
        <v>0</v>
      </c>
      <c r="S638" s="307">
        <f t="shared" ca="1" si="282"/>
        <v>10.637999999999975</v>
      </c>
      <c r="T638" s="304">
        <f t="shared" ca="1" si="262"/>
        <v>104.35877999999975</v>
      </c>
      <c r="U638" s="311">
        <f t="shared" ca="1" si="263"/>
        <v>0</v>
      </c>
      <c r="V638" s="306">
        <f t="shared" ca="1" si="264"/>
        <v>1.0026731480278563</v>
      </c>
      <c r="W638" s="304">
        <f t="shared" ca="1" si="265"/>
        <v>1.6654895121348308</v>
      </c>
      <c r="Y638" s="314" t="str">
        <f t="shared" ca="1" si="283"/>
        <v/>
      </c>
      <c r="Z638" s="315" t="str">
        <f t="shared" ca="1" si="284"/>
        <v/>
      </c>
      <c r="AA638" s="316" t="str">
        <f t="shared" ca="1" si="285"/>
        <v/>
      </c>
      <c r="AC638" s="310" t="e">
        <f t="shared" ca="1" si="286"/>
        <v>#N/A</v>
      </c>
      <c r="AD638" s="323" t="e">
        <f t="shared" ca="1" si="287"/>
        <v>#N/A</v>
      </c>
      <c r="AE638" s="324">
        <f t="shared" ca="1" si="266"/>
        <v>1996.0455344983454</v>
      </c>
      <c r="AG638" s="306">
        <f t="shared" ca="1" si="288"/>
        <v>-6.4263105054180727</v>
      </c>
      <c r="AH638" s="304">
        <f t="shared" ca="1" si="289"/>
        <v>-0.16657809130666934</v>
      </c>
    </row>
    <row r="639" spans="1:34" x14ac:dyDescent="0.25">
      <c r="A639" s="347">
        <f t="shared" ca="1" si="267"/>
        <v>0.1</v>
      </c>
      <c r="B639" s="304">
        <f t="shared" ca="1" si="268"/>
        <v>18.499999999999932</v>
      </c>
      <c r="D639" s="306">
        <f t="shared" ca="1" si="269"/>
        <v>-0.12423300789890938</v>
      </c>
      <c r="E639" s="307">
        <f t="shared" ca="1" si="270"/>
        <v>-9.9052749595520542</v>
      </c>
      <c r="F639" s="304">
        <f t="shared" ca="1" si="271"/>
        <v>9.9060540006897071</v>
      </c>
      <c r="G639" s="306">
        <f t="shared" ca="1" si="272"/>
        <v>15.851196778028148</v>
      </c>
      <c r="H639" s="307">
        <f t="shared" ca="1" si="273"/>
        <v>11.17536775942153</v>
      </c>
      <c r="I639" s="304">
        <f t="shared" ca="1" si="274"/>
        <v>19.39456841113223</v>
      </c>
      <c r="J639" s="306">
        <f t="shared" ca="1" si="275"/>
        <v>346.24700462478734</v>
      </c>
      <c r="K639" s="307">
        <f t="shared" ca="1" si="276"/>
        <v>1997.2125976490854</v>
      </c>
      <c r="L639" s="304">
        <f t="shared" ca="1" si="261"/>
        <v>2027.0039833260923</v>
      </c>
      <c r="M639" s="306">
        <f t="shared" ca="1" si="277"/>
        <v>0.61408534047489272</v>
      </c>
      <c r="N639" s="304">
        <f t="shared" ca="1" si="278"/>
        <v>35.184498270065539</v>
      </c>
      <c r="P639" s="310">
        <f t="shared" ca="1" si="279"/>
        <v>23</v>
      </c>
      <c r="Q639" s="304">
        <f t="shared" ca="1" si="280"/>
        <v>0</v>
      </c>
      <c r="R639" s="306">
        <f t="shared" ca="1" si="281"/>
        <v>0</v>
      </c>
      <c r="S639" s="307">
        <f t="shared" ca="1" si="282"/>
        <v>10.637999999999975</v>
      </c>
      <c r="T639" s="304">
        <f t="shared" ca="1" si="262"/>
        <v>104.35877999999975</v>
      </c>
      <c r="U639" s="311">
        <f t="shared" ca="1" si="263"/>
        <v>0</v>
      </c>
      <c r="V639" s="306">
        <f t="shared" ca="1" si="264"/>
        <v>1.0025549587240337</v>
      </c>
      <c r="W639" s="304">
        <f t="shared" ca="1" si="265"/>
        <v>1.5673158085168506</v>
      </c>
      <c r="Y639" s="314" t="str">
        <f t="shared" ca="1" si="283"/>
        <v/>
      </c>
      <c r="Z639" s="315" t="str">
        <f t="shared" ca="1" si="284"/>
        <v/>
      </c>
      <c r="AA639" s="316" t="str">
        <f t="shared" ca="1" si="285"/>
        <v/>
      </c>
      <c r="AC639" s="310" t="e">
        <f t="shared" ca="1" si="286"/>
        <v>#N/A</v>
      </c>
      <c r="AD639" s="323" t="e">
        <f t="shared" ca="1" si="287"/>
        <v>#N/A</v>
      </c>
      <c r="AE639" s="324">
        <f t="shared" ca="1" si="266"/>
        <v>1997.2125976490854</v>
      </c>
      <c r="AG639" s="306">
        <f t="shared" ca="1" si="288"/>
        <v>-6.126444009201343</v>
      </c>
      <c r="AH639" s="304">
        <f t="shared" ca="1" si="289"/>
        <v>-0.15656039783181375</v>
      </c>
    </row>
    <row r="640" spans="1:34" x14ac:dyDescent="0.25">
      <c r="A640" s="347">
        <f t="shared" ca="1" si="267"/>
        <v>0.1</v>
      </c>
      <c r="B640" s="304">
        <f t="shared" ca="1" si="268"/>
        <v>18.599999999999934</v>
      </c>
      <c r="D640" s="306">
        <f t="shared" ca="1" si="269"/>
        <v>-0.12041441103176248</v>
      </c>
      <c r="E640" s="307">
        <f t="shared" ca="1" si="270"/>
        <v>-9.8948942414669521</v>
      </c>
      <c r="F640" s="304">
        <f t="shared" ca="1" si="271"/>
        <v>9.8956268967761698</v>
      </c>
      <c r="G640" s="306">
        <f t="shared" ca="1" si="272"/>
        <v>15.839155336924971</v>
      </c>
      <c r="H640" s="307">
        <f t="shared" ca="1" si="273"/>
        <v>10.185878335274834</v>
      </c>
      <c r="I640" s="304">
        <f t="shared" ca="1" si="274"/>
        <v>18.831647810222556</v>
      </c>
      <c r="J640" s="306">
        <f t="shared" ca="1" si="275"/>
        <v>347.83152223053497</v>
      </c>
      <c r="K640" s="307">
        <f t="shared" ca="1" si="276"/>
        <v>1998.2806599538203</v>
      </c>
      <c r="L640" s="304">
        <f t="shared" ca="1" si="261"/>
        <v>2028.327479427986</v>
      </c>
      <c r="M640" s="306">
        <f t="shared" ca="1" si="277"/>
        <v>0.57149668629524586</v>
      </c>
      <c r="N640" s="304">
        <f t="shared" ca="1" si="278"/>
        <v>32.744348130429586</v>
      </c>
      <c r="P640" s="310">
        <f t="shared" ca="1" si="279"/>
        <v>23</v>
      </c>
      <c r="Q640" s="304">
        <f t="shared" ca="1" si="280"/>
        <v>0</v>
      </c>
      <c r="R640" s="306">
        <f t="shared" ca="1" si="281"/>
        <v>0</v>
      </c>
      <c r="S640" s="307">
        <f t="shared" ca="1" si="282"/>
        <v>10.637999999999975</v>
      </c>
      <c r="T640" s="304">
        <f t="shared" ca="1" si="262"/>
        <v>104.35877999999975</v>
      </c>
      <c r="U640" s="311">
        <f t="shared" ca="1" si="263"/>
        <v>0</v>
      </c>
      <c r="V640" s="306">
        <f t="shared" ca="1" si="264"/>
        <v>1.0024468062952183</v>
      </c>
      <c r="W640" s="304">
        <f t="shared" ca="1" si="265"/>
        <v>1.4774951662190361</v>
      </c>
      <c r="Y640" s="314" t="str">
        <f t="shared" ca="1" si="283"/>
        <v/>
      </c>
      <c r="Z640" s="315" t="str">
        <f t="shared" ca="1" si="284"/>
        <v/>
      </c>
      <c r="AA640" s="316" t="str">
        <f t="shared" ca="1" si="285"/>
        <v/>
      </c>
      <c r="AC640" s="310" t="e">
        <f t="shared" ca="1" si="286"/>
        <v>#N/A</v>
      </c>
      <c r="AD640" s="323" t="e">
        <f t="shared" ca="1" si="287"/>
        <v>#N/A</v>
      </c>
      <c r="AE640" s="324">
        <f t="shared" ca="1" si="266"/>
        <v>1998.2806599538203</v>
      </c>
      <c r="AG640" s="306">
        <f t="shared" ca="1" si="288"/>
        <v>-5.7999637954605809</v>
      </c>
      <c r="AH640" s="304">
        <f t="shared" ca="1" si="289"/>
        <v>-0.14733181129130046</v>
      </c>
    </row>
    <row r="641" spans="1:34" x14ac:dyDescent="0.25">
      <c r="A641" s="347">
        <f t="shared" ca="1" si="267"/>
        <v>0.1</v>
      </c>
      <c r="B641" s="304">
        <f t="shared" ca="1" si="268"/>
        <v>18.699999999999935</v>
      </c>
      <c r="D641" s="306">
        <f t="shared" ca="1" si="269"/>
        <v>-0.11681800290283791</v>
      </c>
      <c r="E641" s="307">
        <f t="shared" ca="1" si="270"/>
        <v>-9.8851235744348163</v>
      </c>
      <c r="F641" s="304">
        <f t="shared" ca="1" si="271"/>
        <v>9.885813801991679</v>
      </c>
      <c r="G641" s="306">
        <f t="shared" ca="1" si="272"/>
        <v>15.827473536634688</v>
      </c>
      <c r="H641" s="307">
        <f t="shared" ca="1" si="273"/>
        <v>9.1973659778313532</v>
      </c>
      <c r="I641" s="304">
        <f t="shared" ca="1" si="274"/>
        <v>18.305749355954841</v>
      </c>
      <c r="J641" s="306">
        <f t="shared" ca="1" si="275"/>
        <v>349.41485367421296</v>
      </c>
      <c r="K641" s="307">
        <f t="shared" ca="1" si="276"/>
        <v>1999.2498221694757</v>
      </c>
      <c r="L641" s="304">
        <f t="shared" ca="1" si="261"/>
        <v>2029.5542839285802</v>
      </c>
      <c r="M641" s="306">
        <f t="shared" ca="1" si="277"/>
        <v>0.52640750432010397</v>
      </c>
      <c r="N641" s="304">
        <f t="shared" ca="1" si="278"/>
        <v>30.160928301556606</v>
      </c>
      <c r="P641" s="310">
        <f t="shared" ca="1" si="279"/>
        <v>23</v>
      </c>
      <c r="Q641" s="304">
        <f t="shared" ca="1" si="280"/>
        <v>0</v>
      </c>
      <c r="R641" s="306">
        <f t="shared" ca="1" si="281"/>
        <v>0</v>
      </c>
      <c r="S641" s="307">
        <f t="shared" ca="1" si="282"/>
        <v>10.637999999999975</v>
      </c>
      <c r="T641" s="304">
        <f t="shared" ca="1" si="262"/>
        <v>104.35877999999975</v>
      </c>
      <c r="U641" s="311">
        <f t="shared" ca="1" si="263"/>
        <v>0</v>
      </c>
      <c r="V641" s="306">
        <f t="shared" ca="1" si="264"/>
        <v>1.0023486776181272</v>
      </c>
      <c r="W641" s="304">
        <f t="shared" ca="1" si="265"/>
        <v>1.3959887887351576</v>
      </c>
      <c r="Y641" s="314" t="str">
        <f t="shared" ca="1" si="283"/>
        <v/>
      </c>
      <c r="Z641" s="315" t="str">
        <f t="shared" ca="1" si="284"/>
        <v/>
      </c>
      <c r="AA641" s="316" t="str">
        <f t="shared" ca="1" si="285"/>
        <v/>
      </c>
      <c r="AC641" s="310" t="e">
        <f t="shared" ca="1" si="286"/>
        <v>#N/A</v>
      </c>
      <c r="AD641" s="323" t="e">
        <f t="shared" ca="1" si="287"/>
        <v>#N/A</v>
      </c>
      <c r="AE641" s="324">
        <f t="shared" ca="1" si="266"/>
        <v>1999.2498221694757</v>
      </c>
      <c r="AG641" s="306">
        <f t="shared" ca="1" si="288"/>
        <v>-5.4450341035379468</v>
      </c>
      <c r="AH641" s="304">
        <f t="shared" ca="1" si="289"/>
        <v>-0.13888843450075575</v>
      </c>
    </row>
    <row r="642" spans="1:34" x14ac:dyDescent="0.25">
      <c r="A642" s="347">
        <f t="shared" ca="1" si="267"/>
        <v>0.1</v>
      </c>
      <c r="B642" s="304">
        <f t="shared" ca="1" si="268"/>
        <v>18.799999999999937</v>
      </c>
      <c r="D642" s="306">
        <f t="shared" ca="1" si="269"/>
        <v>-0.11346084897508467</v>
      </c>
      <c r="E642" s="307">
        <f t="shared" ca="1" si="270"/>
        <v>-9.8759322506377227</v>
      </c>
      <c r="F642" s="304">
        <f t="shared" ca="1" si="271"/>
        <v>9.8765839835155766</v>
      </c>
      <c r="G642" s="306">
        <f t="shared" ca="1" si="272"/>
        <v>15.816127451737179</v>
      </c>
      <c r="H642" s="307">
        <f t="shared" ca="1" si="273"/>
        <v>8.2097727527675808</v>
      </c>
      <c r="I642" s="304">
        <f t="shared" ca="1" si="274"/>
        <v>17.819939848991616</v>
      </c>
      <c r="J642" s="306">
        <f t="shared" ca="1" si="275"/>
        <v>350.99703372363155</v>
      </c>
      <c r="K642" s="307">
        <f t="shared" ca="1" si="276"/>
        <v>2000.1201791060057</v>
      </c>
      <c r="L642" s="304">
        <f t="shared" ca="1" si="261"/>
        <v>2030.6845270868216</v>
      </c>
      <c r="M642" s="306">
        <f t="shared" ca="1" si="277"/>
        <v>0.47879171582691715</v>
      </c>
      <c r="N642" s="304">
        <f t="shared" ca="1" si="278"/>
        <v>27.432744582709415</v>
      </c>
      <c r="P642" s="310">
        <f t="shared" ca="1" si="279"/>
        <v>23</v>
      </c>
      <c r="Q642" s="304">
        <f t="shared" ca="1" si="280"/>
        <v>0</v>
      </c>
      <c r="R642" s="306">
        <f t="shared" ca="1" si="281"/>
        <v>0</v>
      </c>
      <c r="S642" s="307">
        <f t="shared" ca="1" si="282"/>
        <v>10.637999999999975</v>
      </c>
      <c r="T642" s="304">
        <f t="shared" ca="1" si="262"/>
        <v>104.35877999999975</v>
      </c>
      <c r="U642" s="311">
        <f t="shared" ca="1" si="263"/>
        <v>0</v>
      </c>
      <c r="V642" s="306">
        <f t="shared" ca="1" si="264"/>
        <v>1.0022605604462276</v>
      </c>
      <c r="W642" s="304">
        <f t="shared" ca="1" si="265"/>
        <v>1.3227604274728177</v>
      </c>
      <c r="Y642" s="314" t="str">
        <f t="shared" ca="1" si="283"/>
        <v/>
      </c>
      <c r="Z642" s="315" t="str">
        <f t="shared" ca="1" si="284"/>
        <v/>
      </c>
      <c r="AA642" s="316" t="str">
        <f t="shared" ca="1" si="285"/>
        <v/>
      </c>
      <c r="AC642" s="310" t="e">
        <f t="shared" ca="1" si="286"/>
        <v>#N/A</v>
      </c>
      <c r="AD642" s="323" t="e">
        <f t="shared" ca="1" si="287"/>
        <v>#N/A</v>
      </c>
      <c r="AE642" s="324">
        <f t="shared" ca="1" si="266"/>
        <v>2000.1201791060057</v>
      </c>
      <c r="AG642" s="306">
        <f t="shared" ca="1" si="288"/>
        <v>-5.0600693839309105</v>
      </c>
      <c r="AH642" s="304">
        <f t="shared" ca="1" si="289"/>
        <v>-0.13122662048647873</v>
      </c>
    </row>
    <row r="643" spans="1:34" x14ac:dyDescent="0.25">
      <c r="A643" s="347">
        <f t="shared" ca="1" si="267"/>
        <v>0.1</v>
      </c>
      <c r="B643" s="304">
        <f t="shared" ca="1" si="268"/>
        <v>18.899999999999938</v>
      </c>
      <c r="D643" s="306">
        <f t="shared" ca="1" si="269"/>
        <v>-0.11036087371727381</v>
      </c>
      <c r="E643" s="307">
        <f t="shared" ca="1" si="270"/>
        <v>-9.8672856849301755</v>
      </c>
      <c r="F643" s="304">
        <f t="shared" ca="1" si="271"/>
        <v>9.8679028324399098</v>
      </c>
      <c r="G643" s="306">
        <f t="shared" ca="1" si="272"/>
        <v>15.805091364365452</v>
      </c>
      <c r="H643" s="307">
        <f t="shared" ca="1" si="273"/>
        <v>7.2230441842745634</v>
      </c>
      <c r="I643" s="304">
        <f t="shared" ca="1" si="274"/>
        <v>17.377378407686297</v>
      </c>
      <c r="J643" s="306">
        <f t="shared" ca="1" si="275"/>
        <v>352.57809466443666</v>
      </c>
      <c r="K643" s="307">
        <f t="shared" ca="1" si="276"/>
        <v>2000.8918199528578</v>
      </c>
      <c r="L643" s="304">
        <f t="shared" ca="1" si="261"/>
        <v>2031.7183338227433</v>
      </c>
      <c r="M643" s="306">
        <f t="shared" ca="1" si="277"/>
        <v>0.42866600392949988</v>
      </c>
      <c r="N643" s="304">
        <f t="shared" ca="1" si="278"/>
        <v>24.560752845898705</v>
      </c>
      <c r="P643" s="310">
        <f t="shared" ca="1" si="279"/>
        <v>23</v>
      </c>
      <c r="Q643" s="304">
        <f t="shared" ca="1" si="280"/>
        <v>0</v>
      </c>
      <c r="R643" s="306">
        <f t="shared" ca="1" si="281"/>
        <v>0</v>
      </c>
      <c r="S643" s="307">
        <f t="shared" ca="1" si="282"/>
        <v>10.637999999999975</v>
      </c>
      <c r="T643" s="304">
        <f t="shared" ca="1" si="262"/>
        <v>104.35877999999975</v>
      </c>
      <c r="U643" s="311">
        <f t="shared" ca="1" si="263"/>
        <v>0</v>
      </c>
      <c r="V643" s="306">
        <f t="shared" ca="1" si="264"/>
        <v>1.0021824433753794</v>
      </c>
      <c r="W643" s="304">
        <f t="shared" ca="1" si="265"/>
        <v>1.257776257357138</v>
      </c>
      <c r="Y643" s="314" t="str">
        <f t="shared" ca="1" si="283"/>
        <v/>
      </c>
      <c r="Z643" s="315" t="str">
        <f t="shared" ca="1" si="284"/>
        <v/>
      </c>
      <c r="AA643" s="316" t="str">
        <f t="shared" ca="1" si="285"/>
        <v/>
      </c>
      <c r="AC643" s="310" t="e">
        <f t="shared" ca="1" si="286"/>
        <v>#N/A</v>
      </c>
      <c r="AD643" s="323" t="e">
        <f t="shared" ca="1" si="287"/>
        <v>#N/A</v>
      </c>
      <c r="AE643" s="324">
        <f t="shared" ca="1" si="266"/>
        <v>2000.8918199528578</v>
      </c>
      <c r="AG643" s="306">
        <f t="shared" ca="1" si="288"/>
        <v>-4.6438795812766793</v>
      </c>
      <c r="AH643" s="304">
        <f t="shared" ca="1" si="289"/>
        <v>-0.12434296178537516</v>
      </c>
    </row>
    <row r="644" spans="1:34" x14ac:dyDescent="0.25">
      <c r="A644" s="347">
        <f t="shared" ca="1" si="267"/>
        <v>0.1</v>
      </c>
      <c r="B644" s="304">
        <f t="shared" ca="1" si="268"/>
        <v>18.99999999999994</v>
      </c>
      <c r="D644" s="306">
        <f t="shared" ca="1" si="269"/>
        <v>-0.10753656473514998</v>
      </c>
      <c r="E644" s="307">
        <f t="shared" ca="1" si="270"/>
        <v>-9.8591450090733641</v>
      </c>
      <c r="F644" s="304">
        <f t="shared" ca="1" si="271"/>
        <v>9.8597314579399811</v>
      </c>
      <c r="G644" s="306">
        <f t="shared" ca="1" si="272"/>
        <v>15.794337707891938</v>
      </c>
      <c r="H644" s="307">
        <f t="shared" ca="1" si="273"/>
        <v>6.2371296833672272</v>
      </c>
      <c r="I644" s="304">
        <f t="shared" ca="1" si="274"/>
        <v>16.981251141128492</v>
      </c>
      <c r="J644" s="306">
        <f t="shared" ca="1" si="275"/>
        <v>354.15806611804953</v>
      </c>
      <c r="K644" s="307">
        <f t="shared" ca="1" si="276"/>
        <v>2001.5648286462399</v>
      </c>
      <c r="L644" s="304">
        <f t="shared" ref="L644:L707" ca="1" si="290">SQRT(pos_x^2+pos_z^2)</f>
        <v>2032.6558240563327</v>
      </c>
      <c r="M644" s="306">
        <f t="shared" ca="1" si="277"/>
        <v>0.37609913547141194</v>
      </c>
      <c r="N644" s="304">
        <f t="shared" ca="1" si="278"/>
        <v>21.548893141030899</v>
      </c>
      <c r="P644" s="310">
        <f t="shared" ca="1" si="279"/>
        <v>23</v>
      </c>
      <c r="Q644" s="304">
        <f t="shared" ca="1" si="280"/>
        <v>0</v>
      </c>
      <c r="R644" s="306">
        <f t="shared" ca="1" si="281"/>
        <v>0</v>
      </c>
      <c r="S644" s="307">
        <f t="shared" ca="1" si="282"/>
        <v>10.637999999999975</v>
      </c>
      <c r="T644" s="304">
        <f t="shared" ref="T644:T707" ca="1" si="291">m*g</f>
        <v>104.35877999999975</v>
      </c>
      <c r="U644" s="311">
        <f t="shared" ref="U644:U707" ca="1" si="292">IF(pos_xz&lt;L_rampe,Poids*COS(Beta),0)</f>
        <v>0</v>
      </c>
      <c r="V644" s="306">
        <f t="shared" ref="V644:V707" ca="1" si="293">Rho_moyen*(20000-Alt_rampe-pos_z)/(20000+Alt_rampe+pos_z)</f>
        <v>1.0021143158054628</v>
      </c>
      <c r="W644" s="304">
        <f t="shared" ref="W644:W707" ca="1" si="294">1/2*Rho*Sref*Cx*vit_xz^2</f>
        <v>1.2010047404488755</v>
      </c>
      <c r="Y644" s="314" t="str">
        <f t="shared" ca="1" si="283"/>
        <v/>
      </c>
      <c r="Z644" s="315" t="str">
        <f t="shared" ca="1" si="284"/>
        <v>Para</v>
      </c>
      <c r="AA644" s="316" t="str">
        <f t="shared" ca="1" si="285"/>
        <v/>
      </c>
      <c r="AC644" s="310">
        <f t="shared" ca="1" si="286"/>
        <v>18.99999999999994</v>
      </c>
      <c r="AD644" s="323">
        <f t="shared" ca="1" si="287"/>
        <v>354.15806611804953</v>
      </c>
      <c r="AE644" s="324">
        <f t="shared" ref="AE644:AE707" ca="1" si="295">IF(t&lt;T_para, pos_z, NA())</f>
        <v>2001.5648286462399</v>
      </c>
      <c r="AG644" s="306">
        <f t="shared" ca="1" si="288"/>
        <v>-4.1958380337799124</v>
      </c>
      <c r="AH644" s="304">
        <f t="shared" ca="1" si="289"/>
        <v>-0.11823427875137629</v>
      </c>
    </row>
    <row r="645" spans="1:34" x14ac:dyDescent="0.25">
      <c r="A645" s="347">
        <f t="shared" ref="A645:A708" ca="1" si="296">IF(B644+0.01&lt;=T_ini+ROUNDUP(Temps_fin_propu,0), 0.01, IF(K644&gt;0, 0.1, 0.0001))</f>
        <v>0.1</v>
      </c>
      <c r="B645" s="304">
        <f t="shared" ref="B645:B708" ca="1" si="297">B644+pas</f>
        <v>19.099999999999941</v>
      </c>
      <c r="D645" s="306">
        <f t="shared" ref="D645:D708" ca="1" si="298">IF(AND(L644&lt;L_rampe,Poussee&lt;Poids*SIN(M644)),0,(-W644+Poussee)/m*COS(M644)-U644/m*SIN(M644))</f>
        <v>-0.10500656944349031</v>
      </c>
      <c r="E645" s="307">
        <f t="shared" ref="E645:E708" ca="1" si="299">IF(AND(L644&lt;L_rampe,Poussee&lt;Poids*SIN(M644)),0,(-W644+Poussee)/m*SIN(M644)+U644/m*COS(M644)-Poids/m)</f>
        <v>-9.8514667334165775</v>
      </c>
      <c r="F645" s="304">
        <f t="shared" ref="F645:F708" ca="1" si="300">SQRT(acc_x^2+acc_z^2)</f>
        <v>9.8520263488908615</v>
      </c>
      <c r="G645" s="306">
        <f t="shared" ref="G645:G708" ca="1" si="301">G644+acc_x*pas</f>
        <v>15.783837050947589</v>
      </c>
      <c r="H645" s="307">
        <f t="shared" ref="H645:H708" ca="1" si="302">H644+acc_z*pas</f>
        <v>5.2519830100255689</v>
      </c>
      <c r="I645" s="304">
        <f t="shared" ref="I645:I708" ca="1" si="303">SQRT(vit_x^2+vit_z^2)</f>
        <v>16.634687781514359</v>
      </c>
      <c r="J645" s="306">
        <f t="shared" ref="J645:J708" ca="1" si="304">J644+0.5*(vit_x+G644)*pas*(K644&gt;=0)</f>
        <v>355.73697485599149</v>
      </c>
      <c r="K645" s="307">
        <f t="shared" ref="K645:K708" ca="1" si="305">K644+0.5*(vit_z+H644)*pas</f>
        <v>2002.1392842809096</v>
      </c>
      <c r="L645" s="304">
        <f t="shared" ca="1" si="290"/>
        <v>2033.49711308882</v>
      </c>
      <c r="M645" s="306">
        <f t="shared" ref="M645:M708" ca="1" si="306">IF(AND(L644&gt;L_rampe,G645&gt;0),ATAN2(G645,H645),$M$4)</f>
        <v>0.32122039915311862</v>
      </c>
      <c r="N645" s="304">
        <f t="shared" ref="N645:N708" ca="1" si="307">DEGREES(Beta)</f>
        <v>18.404573164981379</v>
      </c>
      <c r="P645" s="310">
        <f t="shared" ref="P645:P708" ca="1" si="308">MATCH(t-pas/2-T_ini,CdP_t)</f>
        <v>23</v>
      </c>
      <c r="Q645" s="304">
        <f t="shared" ref="Q645:Q708" ca="1" si="309">(INDEX(CdP,2,i_P+1)-INDEX(CdP,2,i_P+0))/(INDEX(CdP,1,i_P+1)-INDEX(CdP,1,i_P+0))*(t-pas/2-T_ini-INDEX(CdP,1,i_P+0))+INDEX(CdP,2,i_P+0)</f>
        <v>0</v>
      </c>
      <c r="R645" s="306">
        <f t="shared" ref="R645:R708" ca="1" si="310">Poussee/(g*ISP)</f>
        <v>0</v>
      </c>
      <c r="S645" s="307">
        <f t="shared" ref="S645:S708" ca="1" si="311">S644-Débit*pas</f>
        <v>10.637999999999975</v>
      </c>
      <c r="T645" s="304">
        <f t="shared" ca="1" si="291"/>
        <v>104.35877999999975</v>
      </c>
      <c r="U645" s="311">
        <f t="shared" ca="1" si="292"/>
        <v>0</v>
      </c>
      <c r="V645" s="306">
        <f t="shared" ca="1" si="293"/>
        <v>1.0020561678976052</v>
      </c>
      <c r="W645" s="304">
        <f t="shared" ca="1" si="294"/>
        <v>1.1524164763311819</v>
      </c>
      <c r="Y645" s="314" t="str">
        <f t="shared" ref="Y645:Y708" ca="1" si="312">IF(AND(pos_z&lt;=0,K644&gt;0),"Impact balistique","") &amp; IF(AND(H646&lt;0,vit_z&gt;=0),"Apogée","") &amp; IF(AND(Poussee=0,Q644&gt;0),"Fin de propulsion","") &amp; IF(AND(L646&gt;L_rampe,pos_xz&lt;=L_rampe),"Sortie de rampe","")</f>
        <v/>
      </c>
      <c r="Z645" s="315" t="str">
        <f t="shared" ref="Z645:Z708" ca="1" si="313">IF(ABS(t-T_para)&lt;pas/2,"Para","")</f>
        <v/>
      </c>
      <c r="AA645" s="316" t="str">
        <f t="shared" ref="AA645:AA708" ca="1" si="314">IF(ABS(t-T_satellite)&lt;pas/2,"Satellite","")</f>
        <v/>
      </c>
      <c r="AC645" s="310" t="e">
        <f t="shared" ref="AC645:AC708" ca="1" si="315">IF(ABS(t-ROUND(t,0))&lt;0.001,t,NA())</f>
        <v>#N/A</v>
      </c>
      <c r="AD645" s="323" t="e">
        <f t="shared" ref="AD645:AD708" ca="1" si="316">IF(ABS(t-ROUND(t,0))&lt;0.001,pos_x,NA())</f>
        <v>#N/A</v>
      </c>
      <c r="AE645" s="324" t="e">
        <f t="shared" ca="1" si="295"/>
        <v>#N/A</v>
      </c>
      <c r="AG645" s="306">
        <f t="shared" ref="AG645:AG708" ca="1" si="317">IF(AND(L644&lt;L_rampe,Poussee&lt;Poids*SIN(M644)),0,(-W644+Poussee)/m-Poids*SIN(M644)/m)</f>
        <v>-3.7160621607084634</v>
      </c>
      <c r="AH645" s="304">
        <f t="shared" ref="AH645:AH708" ca="1" si="318">IF(AND(L644&lt;L_rampe,Poussee&lt;Poids*SIN(M644)), g*SIN(M644), (-W644+Poussee)/m)</f>
        <v>-0.11289760673518315</v>
      </c>
    </row>
    <row r="646" spans="1:34" x14ac:dyDescent="0.25">
      <c r="A646" s="347">
        <f t="shared" ca="1" si="296"/>
        <v>0.1</v>
      </c>
      <c r="B646" s="304">
        <f t="shared" ca="1" si="297"/>
        <v>19.199999999999942</v>
      </c>
      <c r="D646" s="306">
        <f t="shared" ca="1" si="298"/>
        <v>-0.10278918144811193</v>
      </c>
      <c r="E646" s="307">
        <f t="shared" ca="1" si="299"/>
        <v>-9.844202522038044</v>
      </c>
      <c r="F646" s="304">
        <f t="shared" ca="1" si="300"/>
        <v>9.8447391489425939</v>
      </c>
      <c r="G646" s="306">
        <f t="shared" ca="1" si="301"/>
        <v>15.773558132802778</v>
      </c>
      <c r="H646" s="307">
        <f t="shared" ca="1" si="302"/>
        <v>4.2675627578217643</v>
      </c>
      <c r="I646" s="304">
        <f t="shared" ca="1" si="303"/>
        <v>16.340661799965631</v>
      </c>
      <c r="J646" s="306">
        <f t="shared" ca="1" si="304"/>
        <v>357.31484461517903</v>
      </c>
      <c r="K646" s="307">
        <f t="shared" ca="1" si="305"/>
        <v>2002.615261569302</v>
      </c>
      <c r="L646" s="304">
        <f t="shared" ca="1" si="290"/>
        <v>2034.2423120298754</v>
      </c>
      <c r="M646" s="306">
        <f t="shared" ca="1" si="306"/>
        <v>0.26422596443889801</v>
      </c>
      <c r="N646" s="304">
        <f t="shared" ca="1" si="307"/>
        <v>15.139032600122631</v>
      </c>
      <c r="P646" s="310">
        <f t="shared" ca="1" si="308"/>
        <v>23</v>
      </c>
      <c r="Q646" s="304">
        <f t="shared" ca="1" si="309"/>
        <v>0</v>
      </c>
      <c r="R646" s="306">
        <f t="shared" ca="1" si="310"/>
        <v>0</v>
      </c>
      <c r="S646" s="307">
        <f t="shared" ca="1" si="311"/>
        <v>10.637999999999975</v>
      </c>
      <c r="T646" s="304">
        <f t="shared" ca="1" si="291"/>
        <v>104.35877999999975</v>
      </c>
      <c r="U646" s="311">
        <f t="shared" ca="1" si="292"/>
        <v>0</v>
      </c>
      <c r="V646" s="306">
        <f t="shared" ca="1" si="293"/>
        <v>1.0020079905267203</v>
      </c>
      <c r="W646" s="304">
        <f t="shared" ca="1" si="294"/>
        <v>1.1119840383297797</v>
      </c>
      <c r="Y646" s="314" t="str">
        <f t="shared" ca="1" si="312"/>
        <v/>
      </c>
      <c r="Z646" s="315" t="str">
        <f t="shared" ca="1" si="313"/>
        <v/>
      </c>
      <c r="AA646" s="316" t="str">
        <f t="shared" ca="1" si="314"/>
        <v/>
      </c>
      <c r="AC646" s="310" t="e">
        <f t="shared" ca="1" si="315"/>
        <v>#N/A</v>
      </c>
      <c r="AD646" s="323" t="e">
        <f t="shared" ca="1" si="316"/>
        <v>#N/A</v>
      </c>
      <c r="AE646" s="324" t="e">
        <f t="shared" ca="1" si="295"/>
        <v>#N/A</v>
      </c>
      <c r="AG646" s="306">
        <f t="shared" ca="1" si="317"/>
        <v>-3.2055901970597445</v>
      </c>
      <c r="AH646" s="304">
        <f t="shared" ca="1" si="318"/>
        <v>-0.10833018202022793</v>
      </c>
    </row>
    <row r="647" spans="1:34" x14ac:dyDescent="0.25">
      <c r="A647" s="347">
        <f t="shared" ca="1" si="296"/>
        <v>0.1</v>
      </c>
      <c r="B647" s="304">
        <f t="shared" ca="1" si="297"/>
        <v>19.299999999999944</v>
      </c>
      <c r="D647" s="306">
        <f t="shared" ca="1" si="298"/>
        <v>-0.10090172628977176</v>
      </c>
      <c r="E647" s="307">
        <f t="shared" ca="1" si="299"/>
        <v>-9.8372991322369217</v>
      </c>
      <c r="F647" s="304">
        <f t="shared" ca="1" si="300"/>
        <v>9.8378165959463555</v>
      </c>
      <c r="G647" s="306">
        <f t="shared" ca="1" si="301"/>
        <v>15.7634679601738</v>
      </c>
      <c r="H647" s="307">
        <f t="shared" ca="1" si="302"/>
        <v>3.2838328445980722</v>
      </c>
      <c r="I647" s="304">
        <f t="shared" ca="1" si="303"/>
        <v>16.101878160099432</v>
      </c>
      <c r="J647" s="306">
        <f t="shared" ca="1" si="304"/>
        <v>358.89169591982784</v>
      </c>
      <c r="K647" s="307">
        <f t="shared" ca="1" si="305"/>
        <v>2002.9928313494229</v>
      </c>
      <c r="L647" s="304">
        <f t="shared" ca="1" si="290"/>
        <v>2034.89152827304</v>
      </c>
      <c r="M647" s="306">
        <f t="shared" ca="1" si="306"/>
        <v>0.20538183216984984</v>
      </c>
      <c r="N647" s="304">
        <f t="shared" ca="1" si="307"/>
        <v>11.767512171996595</v>
      </c>
      <c r="P647" s="310">
        <f t="shared" ca="1" si="308"/>
        <v>23</v>
      </c>
      <c r="Q647" s="304">
        <f t="shared" ca="1" si="309"/>
        <v>0</v>
      </c>
      <c r="R647" s="306">
        <f t="shared" ca="1" si="310"/>
        <v>0</v>
      </c>
      <c r="S647" s="307">
        <f t="shared" ca="1" si="311"/>
        <v>10.637999999999975</v>
      </c>
      <c r="T647" s="304">
        <f t="shared" ca="1" si="291"/>
        <v>104.35877999999975</v>
      </c>
      <c r="U647" s="311">
        <f t="shared" ca="1" si="292"/>
        <v>0</v>
      </c>
      <c r="V647" s="306">
        <f t="shared" ca="1" si="293"/>
        <v>1.0019697752292034</v>
      </c>
      <c r="W647" s="304">
        <f t="shared" ca="1" si="294"/>
        <v>1.0796817951024038</v>
      </c>
      <c r="Y647" s="314" t="str">
        <f t="shared" ca="1" si="312"/>
        <v/>
      </c>
      <c r="Z647" s="315" t="str">
        <f t="shared" ca="1" si="313"/>
        <v/>
      </c>
      <c r="AA647" s="316" t="str">
        <f t="shared" ca="1" si="314"/>
        <v/>
      </c>
      <c r="AC647" s="310" t="e">
        <f t="shared" ca="1" si="315"/>
        <v>#N/A</v>
      </c>
      <c r="AD647" s="323" t="e">
        <f t="shared" ca="1" si="316"/>
        <v>#N/A</v>
      </c>
      <c r="AE647" s="324" t="e">
        <f t="shared" ca="1" si="295"/>
        <v>#N/A</v>
      </c>
      <c r="AG647" s="306">
        <f t="shared" ca="1" si="317"/>
        <v>-2.6665303518924901</v>
      </c>
      <c r="AH647" s="304">
        <f t="shared" ca="1" si="318"/>
        <v>-0.10452942642693949</v>
      </c>
    </row>
    <row r="648" spans="1:34" x14ac:dyDescent="0.25">
      <c r="A648" s="347">
        <f t="shared" ca="1" si="296"/>
        <v>0.1</v>
      </c>
      <c r="B648" s="304">
        <f t="shared" ca="1" si="297"/>
        <v>19.399999999999945</v>
      </c>
      <c r="D648" s="306">
        <f t="shared" ca="1" si="298"/>
        <v>-9.9359872362123222E-2</v>
      </c>
      <c r="E648" s="307">
        <f t="shared" ca="1" si="299"/>
        <v>-9.8306985679244043</v>
      </c>
      <c r="F648" s="304">
        <f t="shared" ca="1" si="300"/>
        <v>9.8312006752800425</v>
      </c>
      <c r="G648" s="306">
        <f t="shared" ca="1" si="301"/>
        <v>15.753531972937589</v>
      </c>
      <c r="H648" s="307">
        <f t="shared" ca="1" si="302"/>
        <v>2.3007629878056317</v>
      </c>
      <c r="I648" s="304">
        <f t="shared" ca="1" si="303"/>
        <v>15.920655763768751</v>
      </c>
      <c r="J648" s="306">
        <f t="shared" ca="1" si="304"/>
        <v>360.4675459164834</v>
      </c>
      <c r="K648" s="307">
        <f t="shared" ca="1" si="305"/>
        <v>2003.272061141043</v>
      </c>
      <c r="L648" s="304">
        <f t="shared" ca="1" si="290"/>
        <v>2035.4448660200389</v>
      </c>
      <c r="M648" s="306">
        <f t="shared" ca="1" si="306"/>
        <v>0.14502213810532258</v>
      </c>
      <c r="N648" s="304">
        <f t="shared" ca="1" si="307"/>
        <v>8.309156449398337</v>
      </c>
      <c r="P648" s="310">
        <f t="shared" ca="1" si="308"/>
        <v>23</v>
      </c>
      <c r="Q648" s="304">
        <f t="shared" ca="1" si="309"/>
        <v>0</v>
      </c>
      <c r="R648" s="306">
        <f t="shared" ca="1" si="310"/>
        <v>0</v>
      </c>
      <c r="S648" s="307">
        <f t="shared" ca="1" si="311"/>
        <v>10.637999999999975</v>
      </c>
      <c r="T648" s="304">
        <f t="shared" ca="1" si="291"/>
        <v>104.35877999999975</v>
      </c>
      <c r="U648" s="311">
        <f t="shared" ca="1" si="292"/>
        <v>0</v>
      </c>
      <c r="V648" s="306">
        <f t="shared" ca="1" si="293"/>
        <v>1.0019415141458268</v>
      </c>
      <c r="W648" s="304">
        <f t="shared" ca="1" si="294"/>
        <v>1.0554857177689365</v>
      </c>
      <c r="Y648" s="314" t="str">
        <f t="shared" ca="1" si="312"/>
        <v/>
      </c>
      <c r="Z648" s="315" t="str">
        <f t="shared" ca="1" si="313"/>
        <v/>
      </c>
      <c r="AA648" s="316" t="str">
        <f t="shared" ca="1" si="314"/>
        <v/>
      </c>
      <c r="AC648" s="310" t="e">
        <f t="shared" ca="1" si="315"/>
        <v>#N/A</v>
      </c>
      <c r="AD648" s="323" t="e">
        <f t="shared" ca="1" si="316"/>
        <v>#N/A</v>
      </c>
      <c r="AE648" s="324" t="e">
        <f t="shared" ca="1" si="295"/>
        <v>#N/A</v>
      </c>
      <c r="AG648" s="306">
        <f t="shared" ca="1" si="317"/>
        <v>-2.1021539643168969</v>
      </c>
      <c r="AH648" s="304">
        <f t="shared" ca="1" si="318"/>
        <v>-0.10149293054168136</v>
      </c>
    </row>
    <row r="649" spans="1:34" x14ac:dyDescent="0.25">
      <c r="A649" s="347">
        <f t="shared" ca="1" si="296"/>
        <v>0.1</v>
      </c>
      <c r="B649" s="304">
        <f t="shared" ca="1" si="297"/>
        <v>19.499999999999947</v>
      </c>
      <c r="D649" s="306">
        <f t="shared" ca="1" si="298"/>
        <v>-9.8176910581376994E-2</v>
      </c>
      <c r="E649" s="307">
        <f t="shared" ca="1" si="299"/>
        <v>-9.8243384862842689</v>
      </c>
      <c r="F649" s="304">
        <f t="shared" ca="1" si="300"/>
        <v>9.8248290264440534</v>
      </c>
      <c r="G649" s="306">
        <f t="shared" ca="1" si="301"/>
        <v>15.743714281879452</v>
      </c>
      <c r="H649" s="307">
        <f t="shared" ca="1" si="302"/>
        <v>1.3183291391772047</v>
      </c>
      <c r="I649" s="304">
        <f t="shared" ca="1" si="303"/>
        <v>15.79881423109528</v>
      </c>
      <c r="J649" s="306">
        <f t="shared" ca="1" si="304"/>
        <v>362.04240822922424</v>
      </c>
      <c r="K649" s="307">
        <f t="shared" ca="1" si="305"/>
        <v>2003.4530157473921</v>
      </c>
      <c r="L649" s="304">
        <f t="shared" ca="1" si="290"/>
        <v>2035.9024268524602</v>
      </c>
      <c r="M649" s="306">
        <f t="shared" ca="1" si="306"/>
        <v>8.3541958454096316E-2</v>
      </c>
      <c r="N649" s="304">
        <f t="shared" ca="1" si="307"/>
        <v>4.7866016316769864</v>
      </c>
      <c r="P649" s="310">
        <f t="shared" ca="1" si="308"/>
        <v>23</v>
      </c>
      <c r="Q649" s="304">
        <f t="shared" ca="1" si="309"/>
        <v>0</v>
      </c>
      <c r="R649" s="306">
        <f t="shared" ca="1" si="310"/>
        <v>0</v>
      </c>
      <c r="S649" s="307">
        <f t="shared" ca="1" si="311"/>
        <v>10.637999999999975</v>
      </c>
      <c r="T649" s="304">
        <f t="shared" ca="1" si="291"/>
        <v>104.35877999999975</v>
      </c>
      <c r="U649" s="311">
        <f t="shared" ca="1" si="292"/>
        <v>0</v>
      </c>
      <c r="V649" s="306">
        <f t="shared" ca="1" si="293"/>
        <v>1.0019231999601048</v>
      </c>
      <c r="W649" s="304">
        <f t="shared" ca="1" si="294"/>
        <v>1.0393731735319003</v>
      </c>
      <c r="Y649" s="314" t="str">
        <f t="shared" ca="1" si="312"/>
        <v/>
      </c>
      <c r="Z649" s="315" t="str">
        <f t="shared" ca="1" si="313"/>
        <v/>
      </c>
      <c r="AA649" s="316" t="str">
        <f t="shared" ca="1" si="314"/>
        <v/>
      </c>
      <c r="AC649" s="310" t="e">
        <f t="shared" ca="1" si="315"/>
        <v>#N/A</v>
      </c>
      <c r="AD649" s="323" t="e">
        <f t="shared" ca="1" si="316"/>
        <v>#N/A</v>
      </c>
      <c r="AE649" s="324" t="e">
        <f t="shared" ca="1" si="295"/>
        <v>#N/A</v>
      </c>
      <c r="AG649" s="306">
        <f t="shared" ca="1" si="317"/>
        <v>-1.5169040664596576</v>
      </c>
      <c r="AH649" s="304">
        <f t="shared" ca="1" si="318"/>
        <v>-9.921843558647668E-2</v>
      </c>
    </row>
    <row r="650" spans="1:34" x14ac:dyDescent="0.25">
      <c r="A650" s="347">
        <f t="shared" ca="1" si="296"/>
        <v>0.1</v>
      </c>
      <c r="B650" s="304">
        <f t="shared" ca="1" si="297"/>
        <v>19.599999999999948</v>
      </c>
      <c r="D650" s="306">
        <f t="shared" ca="1" si="298"/>
        <v>-9.7363062167932071E-2</v>
      </c>
      <c r="E650" s="307">
        <f t="shared" ca="1" si="299"/>
        <v>-9.8181528767378126</v>
      </c>
      <c r="F650" s="304">
        <f t="shared" ca="1" si="300"/>
        <v>9.8186356219624376</v>
      </c>
      <c r="G650" s="306">
        <f t="shared" ca="1" si="301"/>
        <v>15.733977975662659</v>
      </c>
      <c r="H650" s="307">
        <f t="shared" ca="1" si="302"/>
        <v>0.33651385150342339</v>
      </c>
      <c r="I650" s="304">
        <f t="shared" ca="1" si="303"/>
        <v>15.737576195554743</v>
      </c>
      <c r="J650" s="306">
        <f t="shared" ca="1" si="304"/>
        <v>363.61629284210136</v>
      </c>
      <c r="K650" s="307">
        <f t="shared" ca="1" si="305"/>
        <v>2003.535757896926</v>
      </c>
      <c r="L650" s="304">
        <f t="shared" ca="1" si="290"/>
        <v>2036.2643103467296</v>
      </c>
      <c r="M650" s="306">
        <f t="shared" ca="1" si="306"/>
        <v>2.1384455672874437E-2</v>
      </c>
      <c r="N650" s="304">
        <f t="shared" ca="1" si="307"/>
        <v>1.2252390572402962</v>
      </c>
      <c r="P650" s="310">
        <f t="shared" ca="1" si="308"/>
        <v>23</v>
      </c>
      <c r="Q650" s="304">
        <f t="shared" ca="1" si="309"/>
        <v>0</v>
      </c>
      <c r="R650" s="306">
        <f t="shared" ca="1" si="310"/>
        <v>0</v>
      </c>
      <c r="S650" s="307">
        <f t="shared" ca="1" si="311"/>
        <v>10.637999999999975</v>
      </c>
      <c r="T650" s="304">
        <f t="shared" ca="1" si="291"/>
        <v>104.35877999999975</v>
      </c>
      <c r="U650" s="311">
        <f t="shared" ca="1" si="292"/>
        <v>0</v>
      </c>
      <c r="V650" s="306">
        <f t="shared" ca="1" si="293"/>
        <v>1.0019148258326718</v>
      </c>
      <c r="W650" s="304">
        <f t="shared" ca="1" si="294"/>
        <v>1.0313227076043843</v>
      </c>
      <c r="Y650" s="314" t="str">
        <f t="shared" ca="1" si="312"/>
        <v>Apogée</v>
      </c>
      <c r="Z650" s="315" t="str">
        <f t="shared" ca="1" si="313"/>
        <v/>
      </c>
      <c r="AA650" s="316" t="str">
        <f t="shared" ca="1" si="314"/>
        <v/>
      </c>
      <c r="AC650" s="310" t="e">
        <f t="shared" ca="1" si="315"/>
        <v>#N/A</v>
      </c>
      <c r="AD650" s="323" t="e">
        <f t="shared" ca="1" si="316"/>
        <v>#N/A</v>
      </c>
      <c r="AE650" s="324" t="e">
        <f t="shared" ca="1" si="295"/>
        <v>#N/A</v>
      </c>
      <c r="AG650" s="306">
        <f t="shared" ca="1" si="317"/>
        <v>-0.91629745441200394</v>
      </c>
      <c r="AH650" s="304">
        <f t="shared" ca="1" si="318"/>
        <v>-9.7703814018791385E-2</v>
      </c>
    </row>
    <row r="651" spans="1:34" x14ac:dyDescent="0.25">
      <c r="A651" s="347">
        <f t="shared" ca="1" si="296"/>
        <v>0.1</v>
      </c>
      <c r="B651" s="304">
        <f t="shared" ca="1" si="297"/>
        <v>19.69999999999995</v>
      </c>
      <c r="D651" s="306">
        <f t="shared" ca="1" si="298"/>
        <v>-9.6924883179199256E-2</v>
      </c>
      <c r="E651" s="307">
        <f t="shared" ca="1" si="299"/>
        <v>-9.8120730018686704</v>
      </c>
      <c r="F651" s="304">
        <f t="shared" ca="1" si="300"/>
        <v>9.8125517082448717</v>
      </c>
      <c r="G651" s="306">
        <f t="shared" ca="1" si="301"/>
        <v>15.724285487344739</v>
      </c>
      <c r="H651" s="307">
        <f t="shared" ca="1" si="302"/>
        <v>-0.64469344868344369</v>
      </c>
      <c r="I651" s="304">
        <f t="shared" ca="1" si="303"/>
        <v>15.737496107395728</v>
      </c>
      <c r="J651" s="306">
        <f t="shared" ca="1" si="304"/>
        <v>365.18920601525173</v>
      </c>
      <c r="K651" s="307">
        <f t="shared" ca="1" si="305"/>
        <v>2003.5203489170669</v>
      </c>
      <c r="L651" s="304">
        <f t="shared" ca="1" si="290"/>
        <v>2036.5306147256454</v>
      </c>
      <c r="M651" s="306">
        <f t="shared" ca="1" si="306"/>
        <v>-4.0976906226321254E-2</v>
      </c>
      <c r="N651" s="304">
        <f t="shared" ca="1" si="307"/>
        <v>-2.3478037842715529</v>
      </c>
      <c r="P651" s="310">
        <f t="shared" ca="1" si="308"/>
        <v>23</v>
      </c>
      <c r="Q651" s="304">
        <f t="shared" ca="1" si="309"/>
        <v>0</v>
      </c>
      <c r="R651" s="306">
        <f t="shared" ca="1" si="310"/>
        <v>0</v>
      </c>
      <c r="S651" s="307">
        <f t="shared" ca="1" si="311"/>
        <v>10.637999999999975</v>
      </c>
      <c r="T651" s="304">
        <f t="shared" ca="1" si="291"/>
        <v>104.35877999999975</v>
      </c>
      <c r="U651" s="311">
        <f t="shared" ca="1" si="292"/>
        <v>0</v>
      </c>
      <c r="V651" s="306">
        <f t="shared" ca="1" si="293"/>
        <v>1.0019163853324771</v>
      </c>
      <c r="W651" s="304">
        <f t="shared" ca="1" si="294"/>
        <v>1.0313138161339808</v>
      </c>
      <c r="Y651" s="314" t="str">
        <f t="shared" ca="1" si="312"/>
        <v/>
      </c>
      <c r="Z651" s="315" t="str">
        <f t="shared" ca="1" si="313"/>
        <v/>
      </c>
      <c r="AA651" s="316" t="str">
        <f t="shared" ca="1" si="314"/>
        <v/>
      </c>
      <c r="AC651" s="310" t="e">
        <f t="shared" ca="1" si="315"/>
        <v>#N/A</v>
      </c>
      <c r="AD651" s="323" t="e">
        <f t="shared" ca="1" si="316"/>
        <v>#N/A</v>
      </c>
      <c r="AE651" s="324" t="e">
        <f t="shared" ca="1" si="295"/>
        <v>#N/A</v>
      </c>
      <c r="AG651" s="306">
        <f t="shared" ca="1" si="317"/>
        <v>-0.30671257087798548</v>
      </c>
      <c r="AH651" s="304">
        <f t="shared" ca="1" si="318"/>
        <v>-9.6947049032185248E-2</v>
      </c>
    </row>
    <row r="652" spans="1:34" x14ac:dyDescent="0.25">
      <c r="A652" s="347">
        <f t="shared" ca="1" si="296"/>
        <v>0.1</v>
      </c>
      <c r="B652" s="304">
        <f t="shared" ca="1" si="297"/>
        <v>19.799999999999951</v>
      </c>
      <c r="D652" s="306">
        <f t="shared" ca="1" si="298"/>
        <v>-9.6864833073637385E-2</v>
      </c>
      <c r="E652" s="307">
        <f t="shared" ca="1" si="299"/>
        <v>-9.8060285557432394</v>
      </c>
      <c r="F652" s="304">
        <f t="shared" ca="1" si="300"/>
        <v>9.8065069638448854</v>
      </c>
      <c r="G652" s="306">
        <f t="shared" ca="1" si="301"/>
        <v>15.714599004037375</v>
      </c>
      <c r="H652" s="307">
        <f t="shared" ca="1" si="302"/>
        <v>-1.6252963042577677</v>
      </c>
      <c r="I652" s="304">
        <f t="shared" ca="1" si="303"/>
        <v>15.798424286438392</v>
      </c>
      <c r="J652" s="306">
        <f t="shared" ca="1" si="304"/>
        <v>366.76115023982084</v>
      </c>
      <c r="K652" s="307">
        <f t="shared" ca="1" si="305"/>
        <v>2003.4068494294199</v>
      </c>
      <c r="L652" s="304">
        <f t="shared" ca="1" si="290"/>
        <v>2036.7014375371641</v>
      </c>
      <c r="M652" s="306">
        <f t="shared" ca="1" si="306"/>
        <v>-0.10305945436501764</v>
      </c>
      <c r="N652" s="304">
        <f t="shared" ca="1" si="307"/>
        <v>-5.9048717740366197</v>
      </c>
      <c r="P652" s="310">
        <f t="shared" ca="1" si="308"/>
        <v>23</v>
      </c>
      <c r="Q652" s="304">
        <f t="shared" ca="1" si="309"/>
        <v>0</v>
      </c>
      <c r="R652" s="306">
        <f t="shared" ca="1" si="310"/>
        <v>0</v>
      </c>
      <c r="S652" s="307">
        <f t="shared" ca="1" si="311"/>
        <v>10.637999999999975</v>
      </c>
      <c r="T652" s="304">
        <f t="shared" ca="1" si="291"/>
        <v>104.35877999999975</v>
      </c>
      <c r="U652" s="311">
        <f t="shared" ca="1" si="292"/>
        <v>0</v>
      </c>
      <c r="V652" s="306">
        <f t="shared" ca="1" si="293"/>
        <v>1.0019278723658489</v>
      </c>
      <c r="W652" s="304">
        <f t="shared" ca="1" si="294"/>
        <v>1.0393267135803319</v>
      </c>
      <c r="Y652" s="314" t="str">
        <f t="shared" ca="1" si="312"/>
        <v/>
      </c>
      <c r="Z652" s="315" t="str">
        <f t="shared" ca="1" si="313"/>
        <v/>
      </c>
      <c r="AA652" s="316" t="str">
        <f t="shared" ca="1" si="314"/>
        <v/>
      </c>
      <c r="AC652" s="310" t="e">
        <f t="shared" ca="1" si="315"/>
        <v>#N/A</v>
      </c>
      <c r="AD652" s="323" t="e">
        <f t="shared" ca="1" si="316"/>
        <v>#N/A</v>
      </c>
      <c r="AE652" s="324" t="e">
        <f t="shared" ca="1" si="295"/>
        <v>#N/A</v>
      </c>
      <c r="AG652" s="306">
        <f t="shared" ca="1" si="317"/>
        <v>0.304924750786844</v>
      </c>
      <c r="AH652" s="304">
        <f t="shared" ca="1" si="318"/>
        <v>-9.6946213210564319E-2</v>
      </c>
    </row>
    <row r="653" spans="1:34" x14ac:dyDescent="0.25">
      <c r="A653" s="347">
        <f t="shared" ca="1" si="296"/>
        <v>0.1</v>
      </c>
      <c r="B653" s="304">
        <f t="shared" ca="1" si="297"/>
        <v>19.899999999999952</v>
      </c>
      <c r="D653" s="306">
        <f t="shared" ca="1" si="298"/>
        <v>-9.7181060551259871E-2</v>
      </c>
      <c r="E653" s="307">
        <f t="shared" ca="1" si="299"/>
        <v>-9.7999489628391263</v>
      </c>
      <c r="F653" s="304">
        <f t="shared" ca="1" si="300"/>
        <v>9.8004307983262429</v>
      </c>
      <c r="G653" s="306">
        <f t="shared" ca="1" si="301"/>
        <v>15.704880897982248</v>
      </c>
      <c r="H653" s="307">
        <f t="shared" ca="1" si="302"/>
        <v>-2.6052912005416804</v>
      </c>
      <c r="I653" s="304">
        <f t="shared" ca="1" si="303"/>
        <v>15.919510867467871</v>
      </c>
      <c r="J653" s="306">
        <f t="shared" ca="1" si="304"/>
        <v>368.33212423492182</v>
      </c>
      <c r="K653" s="307">
        <f t="shared" ca="1" si="305"/>
        <v>2003.19532005418</v>
      </c>
      <c r="L653" s="304">
        <f t="shared" ca="1" si="290"/>
        <v>2036.7768763490956</v>
      </c>
      <c r="M653" s="306">
        <f t="shared" ca="1" si="306"/>
        <v>-0.16439343395300648</v>
      </c>
      <c r="N653" s="304">
        <f t="shared" ca="1" si="307"/>
        <v>-9.4190499451699203</v>
      </c>
      <c r="P653" s="310">
        <f t="shared" ca="1" si="308"/>
        <v>23</v>
      </c>
      <c r="Q653" s="304">
        <f t="shared" ca="1" si="309"/>
        <v>0</v>
      </c>
      <c r="R653" s="306">
        <f t="shared" ca="1" si="310"/>
        <v>0</v>
      </c>
      <c r="S653" s="307">
        <f t="shared" ca="1" si="311"/>
        <v>10.637999999999975</v>
      </c>
      <c r="T653" s="304">
        <f t="shared" ca="1" si="291"/>
        <v>104.35877999999975</v>
      </c>
      <c r="U653" s="311">
        <f t="shared" ca="1" si="292"/>
        <v>0</v>
      </c>
      <c r="V653" s="306">
        <f t="shared" ca="1" si="293"/>
        <v>1.0019492811046566</v>
      </c>
      <c r="W653" s="304">
        <f t="shared" ca="1" si="294"/>
        <v>1.055342098561614</v>
      </c>
      <c r="Y653" s="314" t="str">
        <f t="shared" ca="1" si="312"/>
        <v/>
      </c>
      <c r="Z653" s="315" t="str">
        <f t="shared" ca="1" si="313"/>
        <v/>
      </c>
      <c r="AA653" s="316" t="str">
        <f t="shared" ca="1" si="314"/>
        <v/>
      </c>
      <c r="AC653" s="310" t="e">
        <f t="shared" ca="1" si="315"/>
        <v>#N/A</v>
      </c>
      <c r="AD653" s="323" t="e">
        <f t="shared" ca="1" si="316"/>
        <v>#N/A</v>
      </c>
      <c r="AE653" s="324" t="e">
        <f t="shared" ca="1" si="295"/>
        <v>#N/A</v>
      </c>
      <c r="AG653" s="306">
        <f t="shared" ca="1" si="317"/>
        <v>0.91152504659776734</v>
      </c>
      <c r="AH653" s="304">
        <f t="shared" ca="1" si="318"/>
        <v>-9.769944666105794E-2</v>
      </c>
    </row>
    <row r="654" spans="1:34" x14ac:dyDescent="0.25">
      <c r="A654" s="347">
        <f t="shared" ca="1" si="296"/>
        <v>0.1</v>
      </c>
      <c r="B654" s="304">
        <f t="shared" ca="1" si="297"/>
        <v>19.999999999999954</v>
      </c>
      <c r="D654" s="306">
        <f t="shared" ca="1" si="298"/>
        <v>-9.7867434601749112E-2</v>
      </c>
      <c r="E654" s="307">
        <f t="shared" ca="1" si="299"/>
        <v>-9.7937647182526373</v>
      </c>
      <c r="F654" s="304">
        <f t="shared" ca="1" si="300"/>
        <v>9.7942536924078958</v>
      </c>
      <c r="G654" s="306">
        <f t="shared" ca="1" si="301"/>
        <v>15.695094154522073</v>
      </c>
      <c r="H654" s="307">
        <f t="shared" ca="1" si="302"/>
        <v>-3.5846676723669439</v>
      </c>
      <c r="I654" s="304">
        <f t="shared" ca="1" si="303"/>
        <v>16.099249139032093</v>
      </c>
      <c r="J654" s="306">
        <f t="shared" ca="1" si="304"/>
        <v>369.90212298754705</v>
      </c>
      <c r="K654" s="307">
        <f t="shared" ca="1" si="305"/>
        <v>2002.8858221105345</v>
      </c>
      <c r="L654" s="304">
        <f t="shared" ca="1" si="290"/>
        <v>2036.7570294470781</v>
      </c>
      <c r="M654" s="306">
        <f t="shared" ca="1" si="306"/>
        <v>-0.2245426844134254</v>
      </c>
      <c r="N654" s="304">
        <f t="shared" ca="1" si="307"/>
        <v>-12.865348137427249</v>
      </c>
      <c r="P654" s="310">
        <f t="shared" ca="1" si="308"/>
        <v>23</v>
      </c>
      <c r="Q654" s="304">
        <f t="shared" ca="1" si="309"/>
        <v>0</v>
      </c>
      <c r="R654" s="306">
        <f t="shared" ca="1" si="310"/>
        <v>0</v>
      </c>
      <c r="S654" s="307">
        <f t="shared" ca="1" si="311"/>
        <v>10.637999999999975</v>
      </c>
      <c r="T654" s="304">
        <f t="shared" ca="1" si="291"/>
        <v>104.35877999999975</v>
      </c>
      <c r="U654" s="311">
        <f t="shared" ca="1" si="292"/>
        <v>0</v>
      </c>
      <c r="V654" s="306">
        <f t="shared" ca="1" si="293"/>
        <v>1.0019806059148966</v>
      </c>
      <c r="W654" s="304">
        <f t="shared" ca="1" si="294"/>
        <v>1.0793409224449846</v>
      </c>
      <c r="Y654" s="314" t="str">
        <f t="shared" ca="1" si="312"/>
        <v/>
      </c>
      <c r="Z654" s="315" t="str">
        <f t="shared" ca="1" si="313"/>
        <v/>
      </c>
      <c r="AA654" s="316" t="str">
        <f t="shared" ca="1" si="314"/>
        <v/>
      </c>
      <c r="AC654" s="310">
        <f t="shared" ca="1" si="315"/>
        <v>19.999999999999954</v>
      </c>
      <c r="AD654" s="323">
        <f t="shared" ca="1" si="316"/>
        <v>369.90212298754705</v>
      </c>
      <c r="AE654" s="324" t="e">
        <f t="shared" ca="1" si="295"/>
        <v>#N/A</v>
      </c>
      <c r="AG654" s="306">
        <f t="shared" ca="1" si="317"/>
        <v>1.5062405394269267</v>
      </c>
      <c r="AH654" s="304">
        <f t="shared" ca="1" si="318"/>
        <v>-9.9204935002972033E-2</v>
      </c>
    </row>
    <row r="655" spans="1:34" x14ac:dyDescent="0.25">
      <c r="A655" s="347">
        <f t="shared" ca="1" si="296"/>
        <v>0.1</v>
      </c>
      <c r="B655" s="304">
        <f t="shared" ca="1" si="297"/>
        <v>20.099999999999955</v>
      </c>
      <c r="D655" s="306">
        <f t="shared" ca="1" si="298"/>
        <v>-9.8913817058275302E-2</v>
      </c>
      <c r="E655" s="307">
        <f t="shared" ca="1" si="299"/>
        <v>-9.7874086629319734</v>
      </c>
      <c r="F655" s="304">
        <f t="shared" ca="1" si="300"/>
        <v>9.7879084731336174</v>
      </c>
      <c r="G655" s="306">
        <f t="shared" ca="1" si="301"/>
        <v>15.685202772816245</v>
      </c>
      <c r="H655" s="307">
        <f t="shared" ca="1" si="302"/>
        <v>-4.5634085386601413</v>
      </c>
      <c r="I655" s="304">
        <f t="shared" ca="1" si="303"/>
        <v>16.335552745930535</v>
      </c>
      <c r="J655" s="306">
        <f t="shared" ca="1" si="304"/>
        <v>371.47113783391399</v>
      </c>
      <c r="K655" s="307">
        <f t="shared" ca="1" si="305"/>
        <v>2002.4784182999831</v>
      </c>
      <c r="L655" s="304">
        <f t="shared" ca="1" si="290"/>
        <v>2036.6419965229099</v>
      </c>
      <c r="M655" s="306">
        <f t="shared" ca="1" si="306"/>
        <v>-0.28312167526786258</v>
      </c>
      <c r="N655" s="304">
        <f t="shared" ca="1" si="307"/>
        <v>-16.221677081521946</v>
      </c>
      <c r="P655" s="310">
        <f t="shared" ca="1" si="308"/>
        <v>23</v>
      </c>
      <c r="Q655" s="304">
        <f t="shared" ca="1" si="309"/>
        <v>0</v>
      </c>
      <c r="R655" s="306">
        <f t="shared" ca="1" si="310"/>
        <v>0</v>
      </c>
      <c r="S655" s="307">
        <f t="shared" ca="1" si="311"/>
        <v>10.637999999999975</v>
      </c>
      <c r="T655" s="304">
        <f t="shared" ca="1" si="291"/>
        <v>104.35877999999975</v>
      </c>
      <c r="U655" s="311">
        <f t="shared" ca="1" si="292"/>
        <v>0</v>
      </c>
      <c r="V655" s="306">
        <f t="shared" ca="1" si="293"/>
        <v>1.0020218412870041</v>
      </c>
      <c r="W655" s="304">
        <f t="shared" ca="1" si="294"/>
        <v>1.1113041648752524</v>
      </c>
      <c r="Y655" s="314" t="str">
        <f t="shared" ca="1" si="312"/>
        <v/>
      </c>
      <c r="Z655" s="315" t="str">
        <f t="shared" ca="1" si="313"/>
        <v/>
      </c>
      <c r="AA655" s="316" t="str">
        <f t="shared" ca="1" si="314"/>
        <v/>
      </c>
      <c r="AC655" s="310" t="e">
        <f t="shared" ca="1" si="315"/>
        <v>#N/A</v>
      </c>
      <c r="AD655" s="323" t="e">
        <f t="shared" ca="1" si="316"/>
        <v>#N/A</v>
      </c>
      <c r="AE655" s="324" t="e">
        <f t="shared" ca="1" si="295"/>
        <v>#N/A</v>
      </c>
      <c r="AG655" s="306">
        <f t="shared" ca="1" si="317"/>
        <v>2.0828391106170319</v>
      </c>
      <c r="AH655" s="304">
        <f t="shared" ca="1" si="318"/>
        <v>-0.101460887614682</v>
      </c>
    </row>
    <row r="656" spans="1:34" x14ac:dyDescent="0.25">
      <c r="A656" s="347">
        <f t="shared" ca="1" si="296"/>
        <v>0.1</v>
      </c>
      <c r="B656" s="304">
        <f t="shared" ca="1" si="297"/>
        <v>20.199999999999957</v>
      </c>
      <c r="D656" s="306">
        <f t="shared" ca="1" si="298"/>
        <v>-0.10030654212121225</v>
      </c>
      <c r="E656" s="307">
        <f t="shared" ca="1" si="299"/>
        <v>-9.7808170982913456</v>
      </c>
      <c r="F656" s="304">
        <f t="shared" ca="1" si="300"/>
        <v>9.7813314284212165</v>
      </c>
      <c r="G656" s="306">
        <f t="shared" ca="1" si="301"/>
        <v>15.675172118604124</v>
      </c>
      <c r="H656" s="307">
        <f t="shared" ca="1" si="302"/>
        <v>-5.5414902484892758</v>
      </c>
      <c r="I656" s="304">
        <f t="shared" ca="1" si="303"/>
        <v>16.625857425166554</v>
      </c>
      <c r="J656" s="306">
        <f t="shared" ca="1" si="304"/>
        <v>373.03915657848501</v>
      </c>
      <c r="K656" s="307">
        <f t="shared" ca="1" si="305"/>
        <v>2001.9731733606257</v>
      </c>
      <c r="L656" s="304">
        <f t="shared" ca="1" si="290"/>
        <v>2036.4318793410207</v>
      </c>
      <c r="M656" s="306">
        <f t="shared" ca="1" si="306"/>
        <v>-0.33980742148600995</v>
      </c>
      <c r="N656" s="304">
        <f t="shared" ca="1" si="307"/>
        <v>-19.469531098371458</v>
      </c>
      <c r="P656" s="310">
        <f t="shared" ca="1" si="308"/>
        <v>23</v>
      </c>
      <c r="Q656" s="304">
        <f t="shared" ca="1" si="309"/>
        <v>0</v>
      </c>
      <c r="R656" s="306">
        <f t="shared" ca="1" si="310"/>
        <v>0</v>
      </c>
      <c r="S656" s="307">
        <f t="shared" ca="1" si="311"/>
        <v>10.637999999999975</v>
      </c>
      <c r="T656" s="304">
        <f t="shared" ca="1" si="291"/>
        <v>104.35877999999975</v>
      </c>
      <c r="U656" s="311">
        <f t="shared" ca="1" si="292"/>
        <v>0</v>
      </c>
      <c r="V656" s="306">
        <f t="shared" ca="1" si="293"/>
        <v>1.0020729817691003</v>
      </c>
      <c r="W656" s="304">
        <f t="shared" ca="1" si="294"/>
        <v>1.1512126200280095</v>
      </c>
      <c r="Y656" s="314" t="str">
        <f t="shared" ca="1" si="312"/>
        <v/>
      </c>
      <c r="Z656" s="315" t="str">
        <f t="shared" ca="1" si="313"/>
        <v/>
      </c>
      <c r="AA656" s="316" t="str">
        <f t="shared" ca="1" si="314"/>
        <v/>
      </c>
      <c r="AC656" s="310" t="e">
        <f t="shared" ca="1" si="315"/>
        <v>#N/A</v>
      </c>
      <c r="AD656" s="323" t="e">
        <f t="shared" ca="1" si="316"/>
        <v>#N/A</v>
      </c>
      <c r="AE656" s="324" t="e">
        <f t="shared" ca="1" si="295"/>
        <v>#N/A</v>
      </c>
      <c r="AG656" s="306">
        <f t="shared" ca="1" si="317"/>
        <v>2.636001149060089</v>
      </c>
      <c r="AH656" s="304">
        <f t="shared" ca="1" si="318"/>
        <v>-0.10446551653273689</v>
      </c>
    </row>
    <row r="657" spans="1:34" x14ac:dyDescent="0.25">
      <c r="A657" s="347">
        <f t="shared" ca="1" si="296"/>
        <v>0.1</v>
      </c>
      <c r="B657" s="304">
        <f t="shared" ca="1" si="297"/>
        <v>20.299999999999958</v>
      </c>
      <c r="D657" s="306">
        <f t="shared" ca="1" si="298"/>
        <v>-0.10202904513200223</v>
      </c>
      <c r="E657" s="307">
        <f t="shared" ca="1" si="299"/>
        <v>-9.7739306698271839</v>
      </c>
      <c r="F657" s="304">
        <f t="shared" ca="1" si="300"/>
        <v>9.7744631906125168</v>
      </c>
      <c r="G657" s="306">
        <f t="shared" ca="1" si="301"/>
        <v>15.664969214090924</v>
      </c>
      <c r="H657" s="307">
        <f t="shared" ca="1" si="302"/>
        <v>-6.5188833154719941</v>
      </c>
      <c r="I657" s="304">
        <f t="shared" ca="1" si="303"/>
        <v>16.967236078959814</v>
      </c>
      <c r="J657" s="306">
        <f t="shared" ca="1" si="304"/>
        <v>374.60616364511975</v>
      </c>
      <c r="K657" s="307">
        <f t="shared" ca="1" si="305"/>
        <v>2001.3701546824275</v>
      </c>
      <c r="L657" s="304">
        <f t="shared" ca="1" si="290"/>
        <v>2036.1267823724725</v>
      </c>
      <c r="M657" s="306">
        <f t="shared" ca="1" si="306"/>
        <v>-0.39434570792278856</v>
      </c>
      <c r="N657" s="304">
        <f t="shared" ca="1" si="307"/>
        <v>-22.594344733074454</v>
      </c>
      <c r="P657" s="310">
        <f t="shared" ca="1" si="308"/>
        <v>23</v>
      </c>
      <c r="Q657" s="304">
        <f t="shared" ca="1" si="309"/>
        <v>0</v>
      </c>
      <c r="R657" s="306">
        <f t="shared" ca="1" si="310"/>
        <v>0</v>
      </c>
      <c r="S657" s="307">
        <f t="shared" ca="1" si="311"/>
        <v>10.637999999999975</v>
      </c>
      <c r="T657" s="304">
        <f t="shared" ca="1" si="291"/>
        <v>104.35877999999975</v>
      </c>
      <c r="U657" s="311">
        <f t="shared" ca="1" si="292"/>
        <v>0</v>
      </c>
      <c r="V657" s="306">
        <f t="shared" ca="1" si="293"/>
        <v>1.002134021904159</v>
      </c>
      <c r="W657" s="304">
        <f t="shared" ca="1" si="294"/>
        <v>1.1990466967035325</v>
      </c>
      <c r="Y657" s="314" t="str">
        <f t="shared" ca="1" si="312"/>
        <v/>
      </c>
      <c r="Z657" s="315" t="str">
        <f t="shared" ca="1" si="313"/>
        <v/>
      </c>
      <c r="AA657" s="316" t="str">
        <f t="shared" ca="1" si="314"/>
        <v/>
      </c>
      <c r="AC657" s="310" t="e">
        <f t="shared" ca="1" si="315"/>
        <v>#N/A</v>
      </c>
      <c r="AD657" s="323" t="e">
        <f t="shared" ca="1" si="316"/>
        <v>#N/A</v>
      </c>
      <c r="AE657" s="324" t="e">
        <f t="shared" ca="1" si="295"/>
        <v>#N/A</v>
      </c>
      <c r="AG657" s="306">
        <f t="shared" ca="1" si="317"/>
        <v>3.1615102492790728</v>
      </c>
      <c r="AH657" s="304">
        <f t="shared" ca="1" si="318"/>
        <v>-0.1082170163590912</v>
      </c>
    </row>
    <row r="658" spans="1:34" x14ac:dyDescent="0.25">
      <c r="A658" s="347">
        <f t="shared" ca="1" si="296"/>
        <v>0.1</v>
      </c>
      <c r="B658" s="304">
        <f t="shared" ca="1" si="297"/>
        <v>20.399999999999959</v>
      </c>
      <c r="D658" s="306">
        <f t="shared" ca="1" si="298"/>
        <v>-0.10406257162760706</v>
      </c>
      <c r="E658" s="307">
        <f t="shared" ca="1" si="299"/>
        <v>-9.7666949827556575</v>
      </c>
      <c r="F658" s="304">
        <f t="shared" ca="1" si="300"/>
        <v>9.7672493520437111</v>
      </c>
      <c r="G658" s="306">
        <f t="shared" ca="1" si="301"/>
        <v>15.654562956928164</v>
      </c>
      <c r="H658" s="307">
        <f t="shared" ca="1" si="302"/>
        <v>-7.49555281374756</v>
      </c>
      <c r="I658" s="304">
        <f t="shared" ca="1" si="303"/>
        <v>17.356516164141535</v>
      </c>
      <c r="J658" s="306">
        <f t="shared" ca="1" si="304"/>
        <v>376.1721402536707</v>
      </c>
      <c r="K658" s="307">
        <f t="shared" ca="1" si="305"/>
        <v>2000.6694328759665</v>
      </c>
      <c r="L658" s="304">
        <f t="shared" ca="1" si="290"/>
        <v>2035.7268133881003</v>
      </c>
      <c r="M658" s="306">
        <f t="shared" ca="1" si="306"/>
        <v>-0.4465519206625177</v>
      </c>
      <c r="N658" s="304">
        <f t="shared" ca="1" si="307"/>
        <v>-25.585540387423045</v>
      </c>
      <c r="P658" s="310">
        <f t="shared" ca="1" si="308"/>
        <v>23</v>
      </c>
      <c r="Q658" s="304">
        <f t="shared" ca="1" si="309"/>
        <v>0</v>
      </c>
      <c r="R658" s="306">
        <f t="shared" ca="1" si="310"/>
        <v>0</v>
      </c>
      <c r="S658" s="307">
        <f t="shared" ca="1" si="311"/>
        <v>10.637999999999975</v>
      </c>
      <c r="T658" s="304">
        <f t="shared" ca="1" si="291"/>
        <v>104.35877999999975</v>
      </c>
      <c r="U658" s="311">
        <f t="shared" ca="1" si="292"/>
        <v>0</v>
      </c>
      <c r="V658" s="306">
        <f t="shared" ca="1" si="293"/>
        <v>1.0022049561718558</v>
      </c>
      <c r="W658" s="304">
        <f t="shared" ca="1" si="294"/>
        <v>1.254786234546309</v>
      </c>
      <c r="Y658" s="314" t="str">
        <f t="shared" ca="1" si="312"/>
        <v/>
      </c>
      <c r="Z658" s="315" t="str">
        <f t="shared" ca="1" si="313"/>
        <v/>
      </c>
      <c r="AA658" s="316" t="str">
        <f t="shared" ca="1" si="314"/>
        <v/>
      </c>
      <c r="AC658" s="310" t="e">
        <f t="shared" ca="1" si="315"/>
        <v>#N/A</v>
      </c>
      <c r="AD658" s="323" t="e">
        <f t="shared" ca="1" si="316"/>
        <v>#N/A</v>
      </c>
      <c r="AE658" s="324" t="e">
        <f t="shared" ca="1" si="295"/>
        <v>#N/A</v>
      </c>
      <c r="AG658" s="306">
        <f t="shared" ca="1" si="317"/>
        <v>3.6563296285146958</v>
      </c>
      <c r="AH658" s="304">
        <f t="shared" ca="1" si="318"/>
        <v>-0.11271354546940546</v>
      </c>
    </row>
    <row r="659" spans="1:34" x14ac:dyDescent="0.25">
      <c r="A659" s="347">
        <f t="shared" ca="1" si="296"/>
        <v>0.1</v>
      </c>
      <c r="B659" s="304">
        <f t="shared" ca="1" si="297"/>
        <v>20.499999999999961</v>
      </c>
      <c r="D659" s="306">
        <f t="shared" ca="1" si="298"/>
        <v>-0.1063868990001015</v>
      </c>
      <c r="E659" s="307">
        <f t="shared" ca="1" si="299"/>
        <v>-9.759060946489523</v>
      </c>
      <c r="F659" s="304">
        <f t="shared" ca="1" si="300"/>
        <v>9.7596408094548153</v>
      </c>
      <c r="G659" s="306">
        <f t="shared" ca="1" si="301"/>
        <v>15.643924267028154</v>
      </c>
      <c r="H659" s="307">
        <f t="shared" ca="1" si="302"/>
        <v>-8.4714589083965119</v>
      </c>
      <c r="I659" s="304">
        <f t="shared" ca="1" si="303"/>
        <v>17.790390173044631</v>
      </c>
      <c r="J659" s="306">
        <f t="shared" ca="1" si="304"/>
        <v>377.73706461486853</v>
      </c>
      <c r="K659" s="307">
        <f t="shared" ca="1" si="305"/>
        <v>1999.8710822898593</v>
      </c>
      <c r="L659" s="304">
        <f t="shared" ca="1" si="290"/>
        <v>2035.2320840049349</v>
      </c>
      <c r="M659" s="306">
        <f t="shared" ca="1" si="306"/>
        <v>-0.49630742471234601</v>
      </c>
      <c r="N659" s="304">
        <f t="shared" ca="1" si="307"/>
        <v>-28.436320777024282</v>
      </c>
      <c r="P659" s="310">
        <f t="shared" ca="1" si="308"/>
        <v>23</v>
      </c>
      <c r="Q659" s="304">
        <f t="shared" ca="1" si="309"/>
        <v>0</v>
      </c>
      <c r="R659" s="306">
        <f t="shared" ca="1" si="310"/>
        <v>0</v>
      </c>
      <c r="S659" s="307">
        <f t="shared" ca="1" si="311"/>
        <v>10.637999999999975</v>
      </c>
      <c r="T659" s="304">
        <f t="shared" ca="1" si="291"/>
        <v>104.35877999999975</v>
      </c>
      <c r="U659" s="311">
        <f t="shared" ca="1" si="292"/>
        <v>0</v>
      </c>
      <c r="V659" s="306">
        <f t="shared" ca="1" si="293"/>
        <v>1.0022857789355661</v>
      </c>
      <c r="W659" s="304">
        <f t="shared" ca="1" si="294"/>
        <v>1.3184103377929406</v>
      </c>
      <c r="Y659" s="314" t="str">
        <f t="shared" ca="1" si="312"/>
        <v/>
      </c>
      <c r="Z659" s="315" t="str">
        <f t="shared" ca="1" si="313"/>
        <v/>
      </c>
      <c r="AA659" s="316" t="str">
        <f t="shared" ca="1" si="314"/>
        <v/>
      </c>
      <c r="AC659" s="310" t="e">
        <f t="shared" ca="1" si="315"/>
        <v>#N/A</v>
      </c>
      <c r="AD659" s="323" t="e">
        <f t="shared" ca="1" si="316"/>
        <v>#N/A</v>
      </c>
      <c r="AE659" s="324" t="e">
        <f t="shared" ca="1" si="295"/>
        <v>#N/A</v>
      </c>
      <c r="AG659" s="306">
        <f t="shared" ca="1" si="317"/>
        <v>4.1185751594833189</v>
      </c>
      <c r="AH659" s="304">
        <f t="shared" ca="1" si="318"/>
        <v>-0.11795320873719796</v>
      </c>
    </row>
    <row r="660" spans="1:34" x14ac:dyDescent="0.25">
      <c r="A660" s="347">
        <f t="shared" ca="1" si="296"/>
        <v>0.1</v>
      </c>
      <c r="B660" s="304">
        <f t="shared" ca="1" si="297"/>
        <v>20.599999999999962</v>
      </c>
      <c r="D660" s="306">
        <f t="shared" ca="1" si="298"/>
        <v>-0.10898101429035803</v>
      </c>
      <c r="E660" s="307">
        <f t="shared" ca="1" si="299"/>
        <v>-9.7509848725551578</v>
      </c>
      <c r="F660" s="304">
        <f t="shared" ca="1" si="300"/>
        <v>9.7515938618399858</v>
      </c>
      <c r="G660" s="306">
        <f t="shared" ca="1" si="301"/>
        <v>15.633026165599119</v>
      </c>
      <c r="H660" s="307">
        <f t="shared" ca="1" si="302"/>
        <v>-9.446557395652027</v>
      </c>
      <c r="I660" s="304">
        <f t="shared" ca="1" si="303"/>
        <v>18.26551268712857</v>
      </c>
      <c r="J660" s="306">
        <f t="shared" ca="1" si="304"/>
        <v>379.3009121364999</v>
      </c>
      <c r="K660" s="307">
        <f t="shared" ca="1" si="305"/>
        <v>1998.9751814746569</v>
      </c>
      <c r="L660" s="304">
        <f t="shared" ca="1" si="290"/>
        <v>2034.6427101826057</v>
      </c>
      <c r="M660" s="306">
        <f t="shared" ca="1" si="306"/>
        <v>-0.54355276168202904</v>
      </c>
      <c r="N660" s="304">
        <f t="shared" ca="1" si="307"/>
        <v>-31.143279187060518</v>
      </c>
      <c r="P660" s="310">
        <f t="shared" ca="1" si="308"/>
        <v>23</v>
      </c>
      <c r="Q660" s="304">
        <f t="shared" ca="1" si="309"/>
        <v>0</v>
      </c>
      <c r="R660" s="306">
        <f t="shared" ca="1" si="310"/>
        <v>0</v>
      </c>
      <c r="S660" s="307">
        <f t="shared" ca="1" si="311"/>
        <v>10.637999999999975</v>
      </c>
      <c r="T660" s="304">
        <f t="shared" ca="1" si="291"/>
        <v>104.35877999999975</v>
      </c>
      <c r="U660" s="311">
        <f t="shared" ca="1" si="292"/>
        <v>0</v>
      </c>
      <c r="V660" s="306">
        <f t="shared" ca="1" si="293"/>
        <v>1.0023764843947329</v>
      </c>
      <c r="W660" s="304">
        <f t="shared" ca="1" si="294"/>
        <v>1.3898972271172925</v>
      </c>
      <c r="Y660" s="314" t="str">
        <f t="shared" ca="1" si="312"/>
        <v/>
      </c>
      <c r="Z660" s="315" t="str">
        <f t="shared" ca="1" si="313"/>
        <v/>
      </c>
      <c r="AA660" s="316" t="str">
        <f t="shared" ca="1" si="314"/>
        <v/>
      </c>
      <c r="AC660" s="310" t="e">
        <f t="shared" ca="1" si="315"/>
        <v>#N/A</v>
      </c>
      <c r="AD660" s="323" t="e">
        <f t="shared" ca="1" si="316"/>
        <v>#N/A</v>
      </c>
      <c r="AE660" s="324" t="e">
        <f t="shared" ca="1" si="295"/>
        <v>#N/A</v>
      </c>
      <c r="AG660" s="306">
        <f t="shared" ca="1" si="317"/>
        <v>4.5474088057226432</v>
      </c>
      <c r="AH660" s="304">
        <f t="shared" ca="1" si="318"/>
        <v>-0.12393404190571007</v>
      </c>
    </row>
    <row r="661" spans="1:34" x14ac:dyDescent="0.25">
      <c r="A661" s="347">
        <f t="shared" ca="1" si="296"/>
        <v>0.1</v>
      </c>
      <c r="B661" s="304">
        <f t="shared" ca="1" si="297"/>
        <v>20.699999999999964</v>
      </c>
      <c r="D661" s="306">
        <f t="shared" ca="1" si="298"/>
        <v>-0.1118237083765653</v>
      </c>
      <c r="E661" s="307">
        <f t="shared" ca="1" si="299"/>
        <v>-9.7424283687506144</v>
      </c>
      <c r="F661" s="304">
        <f t="shared" ca="1" si="300"/>
        <v>9.7430701045405517</v>
      </c>
      <c r="G661" s="306">
        <f t="shared" ca="1" si="301"/>
        <v>15.621843794761462</v>
      </c>
      <c r="H661" s="307">
        <f t="shared" ca="1" si="302"/>
        <v>-10.420800232527089</v>
      </c>
      <c r="I661" s="304">
        <f t="shared" ca="1" si="303"/>
        <v>18.778580378563333</v>
      </c>
      <c r="J661" s="306">
        <f t="shared" ca="1" si="304"/>
        <v>380.86365563451795</v>
      </c>
      <c r="K661" s="307">
        <f t="shared" ca="1" si="305"/>
        <v>1997.981813593248</v>
      </c>
      <c r="L661" s="304">
        <f t="shared" ca="1" si="290"/>
        <v>2033.9588126686965</v>
      </c>
      <c r="M661" s="306">
        <f t="shared" ca="1" si="306"/>
        <v>-0.58827898665627021</v>
      </c>
      <c r="N661" s="304">
        <f t="shared" ca="1" si="307"/>
        <v>-33.705903111637156</v>
      </c>
      <c r="P661" s="310">
        <f t="shared" ca="1" si="308"/>
        <v>23</v>
      </c>
      <c r="Q661" s="304">
        <f t="shared" ca="1" si="309"/>
        <v>0</v>
      </c>
      <c r="R661" s="306">
        <f t="shared" ca="1" si="310"/>
        <v>0</v>
      </c>
      <c r="S661" s="307">
        <f t="shared" ca="1" si="311"/>
        <v>10.637999999999975</v>
      </c>
      <c r="T661" s="304">
        <f t="shared" ca="1" si="291"/>
        <v>104.35877999999975</v>
      </c>
      <c r="U661" s="311">
        <f t="shared" ca="1" si="292"/>
        <v>0</v>
      </c>
      <c r="V661" s="306">
        <f t="shared" ca="1" si="293"/>
        <v>1.0024770665425931</v>
      </c>
      <c r="W661" s="304">
        <f t="shared" ca="1" si="294"/>
        <v>1.4692241094272622</v>
      </c>
      <c r="Y661" s="314" t="str">
        <f t="shared" ca="1" si="312"/>
        <v/>
      </c>
      <c r="Z661" s="315" t="str">
        <f t="shared" ca="1" si="313"/>
        <v/>
      </c>
      <c r="AA661" s="316" t="str">
        <f t="shared" ca="1" si="314"/>
        <v/>
      </c>
      <c r="AC661" s="310" t="e">
        <f t="shared" ca="1" si="315"/>
        <v>#N/A</v>
      </c>
      <c r="AD661" s="323" t="e">
        <f t="shared" ca="1" si="316"/>
        <v>#N/A</v>
      </c>
      <c r="AE661" s="324" t="e">
        <f t="shared" ca="1" si="295"/>
        <v>#N/A</v>
      </c>
      <c r="AG661" s="306">
        <f t="shared" ca="1" si="317"/>
        <v>4.9428815574975893</v>
      </c>
      <c r="AH661" s="304">
        <f t="shared" ca="1" si="318"/>
        <v>-0.13065399766096031</v>
      </c>
    </row>
    <row r="662" spans="1:34" x14ac:dyDescent="0.25">
      <c r="A662" s="347">
        <f t="shared" ca="1" si="296"/>
        <v>0.1</v>
      </c>
      <c r="B662" s="304">
        <f t="shared" ca="1" si="297"/>
        <v>20.799999999999965</v>
      </c>
      <c r="D662" s="306">
        <f t="shared" ca="1" si="298"/>
        <v>-0.11489406463686302</v>
      </c>
      <c r="E662" s="307">
        <f t="shared" ca="1" si="299"/>
        <v>-9.7333580804408442</v>
      </c>
      <c r="F662" s="304">
        <f t="shared" ca="1" si="300"/>
        <v>9.7340361704778893</v>
      </c>
      <c r="G662" s="306">
        <f t="shared" ca="1" si="301"/>
        <v>15.610354388297775</v>
      </c>
      <c r="H662" s="307">
        <f t="shared" ca="1" si="302"/>
        <v>-11.394136040571173</v>
      </c>
      <c r="I662" s="304">
        <f t="shared" ca="1" si="303"/>
        <v>19.326393875715421</v>
      </c>
      <c r="J662" s="306">
        <f t="shared" ca="1" si="304"/>
        <v>382.42526554367089</v>
      </c>
      <c r="K662" s="307">
        <f t="shared" ca="1" si="305"/>
        <v>1996.8910667795931</v>
      </c>
      <c r="L662" s="304">
        <f t="shared" ca="1" si="290"/>
        <v>2033.1805173939397</v>
      </c>
      <c r="M662" s="306">
        <f t="shared" ca="1" si="306"/>
        <v>-0.63051830140990472</v>
      </c>
      <c r="N662" s="304">
        <f t="shared" ca="1" si="307"/>
        <v>-36.126037576545087</v>
      </c>
      <c r="P662" s="310">
        <f t="shared" ca="1" si="308"/>
        <v>23</v>
      </c>
      <c r="Q662" s="304">
        <f t="shared" ca="1" si="309"/>
        <v>0</v>
      </c>
      <c r="R662" s="306">
        <f t="shared" ca="1" si="310"/>
        <v>0</v>
      </c>
      <c r="S662" s="307">
        <f t="shared" ca="1" si="311"/>
        <v>10.637999999999975</v>
      </c>
      <c r="T662" s="304">
        <f t="shared" ca="1" si="291"/>
        <v>104.35877999999975</v>
      </c>
      <c r="U662" s="311">
        <f t="shared" ca="1" si="292"/>
        <v>0</v>
      </c>
      <c r="V662" s="306">
        <f t="shared" ca="1" si="293"/>
        <v>1.0025875191290721</v>
      </c>
      <c r="W662" s="304">
        <f t="shared" ca="1" si="294"/>
        <v>1.5563670649108332</v>
      </c>
      <c r="Y662" s="314" t="str">
        <f t="shared" ca="1" si="312"/>
        <v/>
      </c>
      <c r="Z662" s="315" t="str">
        <f t="shared" ca="1" si="313"/>
        <v/>
      </c>
      <c r="AA662" s="316" t="str">
        <f t="shared" ca="1" si="314"/>
        <v/>
      </c>
      <c r="AC662" s="310" t="e">
        <f t="shared" ca="1" si="315"/>
        <v>#N/A</v>
      </c>
      <c r="AD662" s="323" t="e">
        <f t="shared" ca="1" si="316"/>
        <v>#N/A</v>
      </c>
      <c r="AE662" s="324" t="e">
        <f t="shared" ca="1" si="295"/>
        <v>#N/A</v>
      </c>
      <c r="AG662" s="306">
        <f t="shared" ca="1" si="317"/>
        <v>5.305753736899236</v>
      </c>
      <c r="AH662" s="304">
        <f t="shared" ca="1" si="318"/>
        <v>-0.13811093339229796</v>
      </c>
    </row>
    <row r="663" spans="1:34" x14ac:dyDescent="0.25">
      <c r="A663" s="347">
        <f t="shared" ca="1" si="296"/>
        <v>0.1</v>
      </c>
      <c r="B663" s="304">
        <f t="shared" ca="1" si="297"/>
        <v>20.899999999999967</v>
      </c>
      <c r="D663" s="306">
        <f t="shared" ca="1" si="298"/>
        <v>-0.11817183575908891</v>
      </c>
      <c r="E663" s="307">
        <f t="shared" ca="1" si="299"/>
        <v>-9.7237453295863379</v>
      </c>
      <c r="F663" s="304">
        <f t="shared" ca="1" si="300"/>
        <v>9.7244633691231925</v>
      </c>
      <c r="G663" s="306">
        <f t="shared" ca="1" si="301"/>
        <v>15.598537204721866</v>
      </c>
      <c r="H663" s="307">
        <f t="shared" ca="1" si="302"/>
        <v>-12.366510573529807</v>
      </c>
      <c r="I663" s="304">
        <f t="shared" ca="1" si="303"/>
        <v>19.905902307916531</v>
      </c>
      <c r="J663" s="306">
        <f t="shared" ca="1" si="304"/>
        <v>383.98571012332189</v>
      </c>
      <c r="K663" s="307">
        <f t="shared" ca="1" si="305"/>
        <v>1995.703034448888</v>
      </c>
      <c r="L663" s="304">
        <f t="shared" ca="1" si="290"/>
        <v>2032.3079558195434</v>
      </c>
      <c r="M663" s="306">
        <f t="shared" ca="1" si="306"/>
        <v>-0.67033487035644179</v>
      </c>
      <c r="N663" s="304">
        <f t="shared" ca="1" si="307"/>
        <v>-38.407358931873311</v>
      </c>
      <c r="P663" s="310">
        <f t="shared" ca="1" si="308"/>
        <v>23</v>
      </c>
      <c r="Q663" s="304">
        <f t="shared" ca="1" si="309"/>
        <v>0</v>
      </c>
      <c r="R663" s="306">
        <f t="shared" ca="1" si="310"/>
        <v>0</v>
      </c>
      <c r="S663" s="307">
        <f t="shared" ca="1" si="311"/>
        <v>10.637999999999975</v>
      </c>
      <c r="T663" s="304">
        <f t="shared" ca="1" si="291"/>
        <v>104.35877999999975</v>
      </c>
      <c r="U663" s="311">
        <f t="shared" ca="1" si="292"/>
        <v>0</v>
      </c>
      <c r="V663" s="306">
        <f t="shared" ca="1" si="293"/>
        <v>1.0027078356285291</v>
      </c>
      <c r="W663" s="304">
        <f t="shared" ca="1" si="294"/>
        <v>1.6513009502387757</v>
      </c>
      <c r="Y663" s="314" t="str">
        <f t="shared" ca="1" si="312"/>
        <v/>
      </c>
      <c r="Z663" s="315" t="str">
        <f t="shared" ca="1" si="313"/>
        <v/>
      </c>
      <c r="AA663" s="316" t="str">
        <f t="shared" ca="1" si="314"/>
        <v/>
      </c>
      <c r="AC663" s="310" t="e">
        <f t="shared" ca="1" si="315"/>
        <v>#N/A</v>
      </c>
      <c r="AD663" s="323" t="e">
        <f t="shared" ca="1" si="316"/>
        <v>#N/A</v>
      </c>
      <c r="AE663" s="324" t="e">
        <f t="shared" ca="1" si="295"/>
        <v>#N/A</v>
      </c>
      <c r="AG663" s="306">
        <f t="shared" ca="1" si="317"/>
        <v>5.6373151439886575</v>
      </c>
      <c r="AH663" s="304">
        <f t="shared" ca="1" si="318"/>
        <v>-0.14630260057443475</v>
      </c>
    </row>
    <row r="664" spans="1:34" x14ac:dyDescent="0.25">
      <c r="A664" s="347">
        <f t="shared" ca="1" si="296"/>
        <v>0.1</v>
      </c>
      <c r="B664" s="304">
        <f t="shared" ca="1" si="297"/>
        <v>20.999999999999968</v>
      </c>
      <c r="D664" s="306">
        <f t="shared" ca="1" si="298"/>
        <v>-0.12163771398958192</v>
      </c>
      <c r="E664" s="307">
        <f t="shared" ca="1" si="299"/>
        <v>-9.7135656961643306</v>
      </c>
      <c r="F664" s="304">
        <f t="shared" ca="1" si="300"/>
        <v>9.7143272678639487</v>
      </c>
      <c r="G664" s="306">
        <f t="shared" ca="1" si="301"/>
        <v>15.586373433322908</v>
      </c>
      <c r="H664" s="307">
        <f t="shared" ca="1" si="302"/>
        <v>-13.337867143146239</v>
      </c>
      <c r="I664" s="304">
        <f t="shared" ca="1" si="303"/>
        <v>20.514232540634179</v>
      </c>
      <c r="J664" s="306">
        <f t="shared" ca="1" si="304"/>
        <v>385.54495565522416</v>
      </c>
      <c r="K664" s="307">
        <f t="shared" ca="1" si="305"/>
        <v>1994.4178155630543</v>
      </c>
      <c r="L664" s="304">
        <f t="shared" ca="1" si="290"/>
        <v>2031.3412652399138</v>
      </c>
      <c r="M664" s="306">
        <f t="shared" ca="1" si="306"/>
        <v>-0.70781641069375734</v>
      </c>
      <c r="N664" s="304">
        <f t="shared" ca="1" si="307"/>
        <v>-40.554893002850847</v>
      </c>
      <c r="P664" s="310">
        <f t="shared" ca="1" si="308"/>
        <v>23</v>
      </c>
      <c r="Q664" s="304">
        <f t="shared" ca="1" si="309"/>
        <v>0</v>
      </c>
      <c r="R664" s="306">
        <f t="shared" ca="1" si="310"/>
        <v>0</v>
      </c>
      <c r="S664" s="307">
        <f t="shared" ca="1" si="311"/>
        <v>10.637999999999975</v>
      </c>
      <c r="T664" s="304">
        <f t="shared" ca="1" si="291"/>
        <v>104.35877999999975</v>
      </c>
      <c r="U664" s="311">
        <f t="shared" ca="1" si="292"/>
        <v>0</v>
      </c>
      <c r="V664" s="306">
        <f t="shared" ca="1" si="293"/>
        <v>1.0028380092119573</v>
      </c>
      <c r="W664" s="304">
        <f t="shared" ca="1" si="294"/>
        <v>1.7539993165944132</v>
      </c>
      <c r="Y664" s="314" t="str">
        <f t="shared" ca="1" si="312"/>
        <v/>
      </c>
      <c r="Z664" s="315" t="str">
        <f t="shared" ca="1" si="313"/>
        <v/>
      </c>
      <c r="AA664" s="316" t="str">
        <f t="shared" ca="1" si="314"/>
        <v/>
      </c>
      <c r="AC664" s="310">
        <f t="shared" ca="1" si="315"/>
        <v>20.999999999999968</v>
      </c>
      <c r="AD664" s="323">
        <f t="shared" ca="1" si="316"/>
        <v>385.54495565522416</v>
      </c>
      <c r="AE664" s="324" t="e">
        <f t="shared" ca="1" si="295"/>
        <v>#N/A</v>
      </c>
      <c r="AG664" s="306">
        <f t="shared" ca="1" si="317"/>
        <v>5.939220471011291</v>
      </c>
      <c r="AH664" s="304">
        <f t="shared" ca="1" si="318"/>
        <v>-0.15522663566824399</v>
      </c>
    </row>
    <row r="665" spans="1:34" x14ac:dyDescent="0.25">
      <c r="A665" s="347">
        <f t="shared" ca="1" si="296"/>
        <v>0.1</v>
      </c>
      <c r="B665" s="304">
        <f t="shared" ca="1" si="297"/>
        <v>21.099999999999969</v>
      </c>
      <c r="D665" s="306">
        <f t="shared" ca="1" si="298"/>
        <v>-0.12527350739286588</v>
      </c>
      <c r="E665" s="307">
        <f t="shared" ca="1" si="299"/>
        <v>-9.7027985778532848</v>
      </c>
      <c r="F665" s="304">
        <f t="shared" ca="1" si="300"/>
        <v>9.7036072516382408</v>
      </c>
      <c r="G665" s="306">
        <f t="shared" ca="1" si="301"/>
        <v>15.573846082583621</v>
      </c>
      <c r="H665" s="307">
        <f t="shared" ca="1" si="302"/>
        <v>-14.308147000931568</v>
      </c>
      <c r="I665" s="304">
        <f t="shared" ca="1" si="303"/>
        <v>21.148705690993769</v>
      </c>
      <c r="J665" s="306">
        <f t="shared" ca="1" si="304"/>
        <v>387.10296663101951</v>
      </c>
      <c r="K665" s="307">
        <f t="shared" ca="1" si="305"/>
        <v>1993.0355148558504</v>
      </c>
      <c r="L665" s="304">
        <f t="shared" ca="1" si="290"/>
        <v>2030.2805890445932</v>
      </c>
      <c r="M665" s="306">
        <f t="shared" ca="1" si="306"/>
        <v>-0.74306688482267846</v>
      </c>
      <c r="N665" s="304">
        <f t="shared" ca="1" si="307"/>
        <v>-42.574596396273122</v>
      </c>
      <c r="P665" s="310">
        <f t="shared" ca="1" si="308"/>
        <v>23</v>
      </c>
      <c r="Q665" s="304">
        <f t="shared" ca="1" si="309"/>
        <v>0</v>
      </c>
      <c r="R665" s="306">
        <f t="shared" ca="1" si="310"/>
        <v>0</v>
      </c>
      <c r="S665" s="307">
        <f t="shared" ca="1" si="311"/>
        <v>10.637999999999975</v>
      </c>
      <c r="T665" s="304">
        <f t="shared" ca="1" si="291"/>
        <v>104.35877999999975</v>
      </c>
      <c r="U665" s="311">
        <f t="shared" ca="1" si="292"/>
        <v>0</v>
      </c>
      <c r="V665" s="306">
        <f t="shared" ca="1" si="293"/>
        <v>1.0029780327231996</v>
      </c>
      <c r="W665" s="304">
        <f t="shared" ca="1" si="294"/>
        <v>1.8644343410913853</v>
      </c>
      <c r="Y665" s="314" t="str">
        <f t="shared" ca="1" si="312"/>
        <v/>
      </c>
      <c r="Z665" s="315" t="str">
        <f t="shared" ca="1" si="313"/>
        <v/>
      </c>
      <c r="AA665" s="316" t="str">
        <f t="shared" ca="1" si="314"/>
        <v/>
      </c>
      <c r="AC665" s="310" t="e">
        <f t="shared" ca="1" si="315"/>
        <v>#N/A</v>
      </c>
      <c r="AD665" s="323" t="e">
        <f t="shared" ca="1" si="316"/>
        <v>#N/A</v>
      </c>
      <c r="AE665" s="324" t="e">
        <f t="shared" ca="1" si="295"/>
        <v>#N/A</v>
      </c>
      <c r="AG665" s="306">
        <f t="shared" ca="1" si="317"/>
        <v>6.2133486314008453</v>
      </c>
      <c r="AH665" s="304">
        <f t="shared" ca="1" si="318"/>
        <v>-0.16488055241534286</v>
      </c>
    </row>
    <row r="666" spans="1:34" x14ac:dyDescent="0.25">
      <c r="A666" s="347">
        <f t="shared" ca="1" si="296"/>
        <v>0.1</v>
      </c>
      <c r="B666" s="304">
        <f t="shared" ca="1" si="297"/>
        <v>21.199999999999971</v>
      </c>
      <c r="D666" s="306">
        <f t="shared" ca="1" si="298"/>
        <v>-0.12906223818278983</v>
      </c>
      <c r="E666" s="307">
        <f t="shared" ca="1" si="299"/>
        <v>-9.6914267544191475</v>
      </c>
      <c r="F666" s="304">
        <f t="shared" ca="1" si="300"/>
        <v>9.6922860872755923</v>
      </c>
      <c r="G666" s="306">
        <f t="shared" ca="1" si="301"/>
        <v>15.560939858765343</v>
      </c>
      <c r="H666" s="307">
        <f t="shared" ca="1" si="302"/>
        <v>-15.277289676373483</v>
      </c>
      <c r="I666" s="304">
        <f t="shared" ca="1" si="303"/>
        <v>21.806843630932462</v>
      </c>
      <c r="J666" s="306">
        <f t="shared" ca="1" si="304"/>
        <v>388.65970592808696</v>
      </c>
      <c r="K666" s="307">
        <f t="shared" ca="1" si="305"/>
        <v>1991.5562430219852</v>
      </c>
      <c r="L666" s="304">
        <f t="shared" ca="1" si="290"/>
        <v>2029.1260769434589</v>
      </c>
      <c r="M666" s="306">
        <f t="shared" ca="1" si="306"/>
        <v>-0.77620041800715878</v>
      </c>
      <c r="N666" s="304">
        <f t="shared" ca="1" si="307"/>
        <v>-44.4730080081005</v>
      </c>
      <c r="P666" s="310">
        <f t="shared" ca="1" si="308"/>
        <v>23</v>
      </c>
      <c r="Q666" s="304">
        <f t="shared" ca="1" si="309"/>
        <v>0</v>
      </c>
      <c r="R666" s="306">
        <f t="shared" ca="1" si="310"/>
        <v>0</v>
      </c>
      <c r="S666" s="307">
        <f t="shared" ca="1" si="311"/>
        <v>10.637999999999975</v>
      </c>
      <c r="T666" s="304">
        <f t="shared" ca="1" si="291"/>
        <v>104.35877999999975</v>
      </c>
      <c r="U666" s="311">
        <f t="shared" ca="1" si="292"/>
        <v>0</v>
      </c>
      <c r="V666" s="306">
        <f t="shared" ca="1" si="293"/>
        <v>1.0031278986587366</v>
      </c>
      <c r="W666" s="304">
        <f t="shared" ca="1" si="294"/>
        <v>1.9825767701281352</v>
      </c>
      <c r="Y666" s="314" t="str">
        <f t="shared" ca="1" si="312"/>
        <v/>
      </c>
      <c r="Z666" s="315" t="str">
        <f t="shared" ca="1" si="313"/>
        <v/>
      </c>
      <c r="AA666" s="316" t="str">
        <f t="shared" ca="1" si="314"/>
        <v/>
      </c>
      <c r="AC666" s="310" t="e">
        <f t="shared" ca="1" si="315"/>
        <v>#N/A</v>
      </c>
      <c r="AD666" s="323" t="e">
        <f t="shared" ca="1" si="316"/>
        <v>#N/A</v>
      </c>
      <c r="AE666" s="324" t="e">
        <f t="shared" ca="1" si="295"/>
        <v>#N/A</v>
      </c>
      <c r="AG666" s="306">
        <f t="shared" ca="1" si="317"/>
        <v>6.4616892028836173</v>
      </c>
      <c r="AH666" s="304">
        <f t="shared" ca="1" si="318"/>
        <v>-0.17526173539118159</v>
      </c>
    </row>
    <row r="667" spans="1:34" x14ac:dyDescent="0.25">
      <c r="A667" s="347">
        <f t="shared" ca="1" si="296"/>
        <v>0.1</v>
      </c>
      <c r="B667" s="304">
        <f t="shared" ca="1" si="297"/>
        <v>21.299999999999972</v>
      </c>
      <c r="D667" s="306">
        <f t="shared" ca="1" si="298"/>
        <v>-0.13298817984724623</v>
      </c>
      <c r="E667" s="307">
        <f t="shared" ca="1" si="299"/>
        <v>-9.6794359745940675</v>
      </c>
      <c r="F667" s="304">
        <f t="shared" ca="1" si="300"/>
        <v>9.6803495103350929</v>
      </c>
      <c r="G667" s="306">
        <f t="shared" ca="1" si="301"/>
        <v>15.547641040780618</v>
      </c>
      <c r="H667" s="307">
        <f t="shared" ca="1" si="302"/>
        <v>-16.245233273832891</v>
      </c>
      <c r="I667" s="304">
        <f t="shared" ca="1" si="303"/>
        <v>22.486368004953871</v>
      </c>
      <c r="J667" s="306">
        <f t="shared" ca="1" si="304"/>
        <v>390.21513497306427</v>
      </c>
      <c r="K667" s="307">
        <f t="shared" ca="1" si="305"/>
        <v>1989.9801168744748</v>
      </c>
      <c r="L667" s="304">
        <f t="shared" ca="1" si="290"/>
        <v>2027.8778851592112</v>
      </c>
      <c r="M667" s="306">
        <f t="shared" ca="1" si="306"/>
        <v>-0.80733642253328752</v>
      </c>
      <c r="N667" s="304">
        <f t="shared" ca="1" si="307"/>
        <v>-46.256969658347906</v>
      </c>
      <c r="P667" s="310">
        <f t="shared" ca="1" si="308"/>
        <v>23</v>
      </c>
      <c r="Q667" s="304">
        <f t="shared" ca="1" si="309"/>
        <v>0</v>
      </c>
      <c r="R667" s="306">
        <f t="shared" ca="1" si="310"/>
        <v>0</v>
      </c>
      <c r="S667" s="307">
        <f t="shared" ca="1" si="311"/>
        <v>10.637999999999975</v>
      </c>
      <c r="T667" s="304">
        <f t="shared" ca="1" si="291"/>
        <v>104.35877999999975</v>
      </c>
      <c r="U667" s="311">
        <f t="shared" ca="1" si="292"/>
        <v>0</v>
      </c>
      <c r="V667" s="306">
        <f t="shared" ca="1" si="293"/>
        <v>1.0032875991506158</v>
      </c>
      <c r="W667" s="304">
        <f t="shared" ca="1" si="294"/>
        <v>2.1083958732834178</v>
      </c>
      <c r="Y667" s="314" t="str">
        <f t="shared" ca="1" si="312"/>
        <v/>
      </c>
      <c r="Z667" s="315" t="str">
        <f t="shared" ca="1" si="313"/>
        <v/>
      </c>
      <c r="AA667" s="316" t="str">
        <f t="shared" ca="1" si="314"/>
        <v/>
      </c>
      <c r="AC667" s="310" t="e">
        <f t="shared" ca="1" si="315"/>
        <v>#N/A</v>
      </c>
      <c r="AD667" s="323" t="e">
        <f t="shared" ca="1" si="316"/>
        <v>#N/A</v>
      </c>
      <c r="AE667" s="324" t="e">
        <f t="shared" ca="1" si="295"/>
        <v>#N/A</v>
      </c>
      <c r="AG667" s="306">
        <f t="shared" ca="1" si="317"/>
        <v>6.6862554107753596</v>
      </c>
      <c r="AH667" s="304">
        <f t="shared" ca="1" si="318"/>
        <v>-0.18636743468021619</v>
      </c>
    </row>
    <row r="668" spans="1:34" x14ac:dyDescent="0.25">
      <c r="A668" s="347">
        <f t="shared" ca="1" si="296"/>
        <v>0.1</v>
      </c>
      <c r="B668" s="304">
        <f t="shared" ca="1" si="297"/>
        <v>21.399999999999974</v>
      </c>
      <c r="D668" s="306">
        <f t="shared" ca="1" si="298"/>
        <v>-0.13703684863374641</v>
      </c>
      <c r="E668" s="307">
        <f t="shared" ca="1" si="299"/>
        <v>-9.6668145760937669</v>
      </c>
      <c r="F668" s="304">
        <f t="shared" ca="1" si="300"/>
        <v>9.6677858450868879</v>
      </c>
      <c r="G668" s="306">
        <f t="shared" ca="1" si="301"/>
        <v>15.533937355917244</v>
      </c>
      <c r="H668" s="307">
        <f t="shared" ca="1" si="302"/>
        <v>-17.211914731442267</v>
      </c>
      <c r="I668" s="304">
        <f t="shared" ca="1" si="303"/>
        <v>23.185193950019062</v>
      </c>
      <c r="J668" s="306">
        <f t="shared" ca="1" si="304"/>
        <v>391.76921389289919</v>
      </c>
      <c r="K668" s="307">
        <f t="shared" ca="1" si="305"/>
        <v>1988.3072594742109</v>
      </c>
      <c r="L668" s="304">
        <f t="shared" ca="1" si="290"/>
        <v>2026.5361765910095</v>
      </c>
      <c r="M668" s="306">
        <f t="shared" ca="1" si="306"/>
        <v>-0.83659582378465847</v>
      </c>
      <c r="N668" s="304">
        <f t="shared" ca="1" si="307"/>
        <v>-47.933409861131267</v>
      </c>
      <c r="P668" s="310">
        <f t="shared" ca="1" si="308"/>
        <v>23</v>
      </c>
      <c r="Q668" s="304">
        <f t="shared" ca="1" si="309"/>
        <v>0</v>
      </c>
      <c r="R668" s="306">
        <f t="shared" ca="1" si="310"/>
        <v>0</v>
      </c>
      <c r="S668" s="307">
        <f t="shared" ca="1" si="311"/>
        <v>10.637999999999975</v>
      </c>
      <c r="T668" s="304">
        <f t="shared" ca="1" si="291"/>
        <v>104.35877999999975</v>
      </c>
      <c r="U668" s="311">
        <f t="shared" ca="1" si="292"/>
        <v>0</v>
      </c>
      <c r="V668" s="306">
        <f t="shared" ca="1" si="293"/>
        <v>1.0034571259521183</v>
      </c>
      <c r="W668" s="304">
        <f t="shared" ca="1" si="294"/>
        <v>2.2418594064554567</v>
      </c>
      <c r="Y668" s="314" t="str">
        <f t="shared" ca="1" si="312"/>
        <v/>
      </c>
      <c r="Z668" s="315" t="str">
        <f t="shared" ca="1" si="313"/>
        <v/>
      </c>
      <c r="AA668" s="316" t="str">
        <f t="shared" ca="1" si="314"/>
        <v/>
      </c>
      <c r="AC668" s="310" t="e">
        <f t="shared" ca="1" si="315"/>
        <v>#N/A</v>
      </c>
      <c r="AD668" s="323" t="e">
        <f t="shared" ca="1" si="316"/>
        <v>#N/A</v>
      </c>
      <c r="AE668" s="324" t="e">
        <f t="shared" ca="1" si="295"/>
        <v>#N/A</v>
      </c>
      <c r="AG668" s="306">
        <f t="shared" ca="1" si="317"/>
        <v>6.8890208519884863</v>
      </c>
      <c r="AH668" s="304">
        <f t="shared" ca="1" si="318"/>
        <v>-0.19819476154196491</v>
      </c>
    </row>
    <row r="669" spans="1:34" x14ac:dyDescent="0.25">
      <c r="A669" s="347">
        <f t="shared" ca="1" si="296"/>
        <v>0.1</v>
      </c>
      <c r="B669" s="304">
        <f t="shared" ca="1" si="297"/>
        <v>21.499999999999975</v>
      </c>
      <c r="D669" s="306">
        <f t="shared" ca="1" si="298"/>
        <v>-0.14119496284357971</v>
      </c>
      <c r="E669" s="307">
        <f t="shared" ca="1" si="299"/>
        <v>-9.6535531439782005</v>
      </c>
      <c r="F669" s="304">
        <f t="shared" ca="1" si="300"/>
        <v>9.6545856628414555</v>
      </c>
      <c r="G669" s="306">
        <f t="shared" ca="1" si="301"/>
        <v>15.519817859632886</v>
      </c>
      <c r="H669" s="307">
        <f t="shared" ca="1" si="302"/>
        <v>-18.177270045840086</v>
      </c>
      <c r="I669" s="304">
        <f t="shared" ca="1" si="303"/>
        <v>23.901420307495854</v>
      </c>
      <c r="J669" s="306">
        <f t="shared" ca="1" si="304"/>
        <v>393.32190165367672</v>
      </c>
      <c r="K669" s="307">
        <f t="shared" ca="1" si="305"/>
        <v>1986.5378002353468</v>
      </c>
      <c r="L669" s="304">
        <f t="shared" ca="1" si="290"/>
        <v>2025.1011209528169</v>
      </c>
      <c r="M669" s="306">
        <f t="shared" ca="1" si="306"/>
        <v>-0.86409824091489384</v>
      </c>
      <c r="N669" s="304">
        <f t="shared" ca="1" si="307"/>
        <v>-49.50918228910205</v>
      </c>
      <c r="P669" s="310">
        <f t="shared" ca="1" si="308"/>
        <v>23</v>
      </c>
      <c r="Q669" s="304">
        <f t="shared" ca="1" si="309"/>
        <v>0</v>
      </c>
      <c r="R669" s="306">
        <f t="shared" ca="1" si="310"/>
        <v>0</v>
      </c>
      <c r="S669" s="307">
        <f t="shared" ca="1" si="311"/>
        <v>10.637999999999975</v>
      </c>
      <c r="T669" s="304">
        <f t="shared" ca="1" si="291"/>
        <v>104.35877999999975</v>
      </c>
      <c r="U669" s="311">
        <f t="shared" ca="1" si="292"/>
        <v>0</v>
      </c>
      <c r="V669" s="306">
        <f t="shared" ca="1" si="293"/>
        <v>1.0036364704258032</v>
      </c>
      <c r="W669" s="304">
        <f t="shared" ca="1" si="294"/>
        <v>2.3829335830685299</v>
      </c>
      <c r="Y669" s="314" t="str">
        <f t="shared" ca="1" si="312"/>
        <v/>
      </c>
      <c r="Z669" s="315" t="str">
        <f t="shared" ca="1" si="313"/>
        <v/>
      </c>
      <c r="AA669" s="316" t="str">
        <f t="shared" ca="1" si="314"/>
        <v/>
      </c>
      <c r="AC669" s="310" t="e">
        <f t="shared" ca="1" si="315"/>
        <v>#N/A</v>
      </c>
      <c r="AD669" s="323" t="e">
        <f t="shared" ca="1" si="316"/>
        <v>#N/A</v>
      </c>
      <c r="AE669" s="324" t="e">
        <f t="shared" ca="1" si="295"/>
        <v>#N/A</v>
      </c>
      <c r="AG669" s="306">
        <f t="shared" ca="1" si="317"/>
        <v>7.0718761385078315</v>
      </c>
      <c r="AH669" s="304">
        <f t="shared" ca="1" si="318"/>
        <v>-0.21074068494599191</v>
      </c>
    </row>
    <row r="670" spans="1:34" x14ac:dyDescent="0.25">
      <c r="A670" s="347">
        <f t="shared" ca="1" si="296"/>
        <v>0.1</v>
      </c>
      <c r="B670" s="304">
        <f t="shared" ca="1" si="297"/>
        <v>21.599999999999977</v>
      </c>
      <c r="D670" s="306">
        <f t="shared" ca="1" si="298"/>
        <v>-0.1454503809167626</v>
      </c>
      <c r="E670" s="307">
        <f t="shared" ca="1" si="299"/>
        <v>-9.6396442087074323</v>
      </c>
      <c r="F670" s="304">
        <f t="shared" ca="1" si="300"/>
        <v>9.6407414799783719</v>
      </c>
      <c r="G670" s="306">
        <f t="shared" ca="1" si="301"/>
        <v>15.50527282154121</v>
      </c>
      <c r="H670" s="307">
        <f t="shared" ca="1" si="302"/>
        <v>-19.141234466710827</v>
      </c>
      <c r="I670" s="304">
        <f t="shared" ca="1" si="303"/>
        <v>24.633317725796154</v>
      </c>
      <c r="J670" s="306">
        <f t="shared" ca="1" si="304"/>
        <v>394.87315618773545</v>
      </c>
      <c r="K670" s="307">
        <f t="shared" ca="1" si="305"/>
        <v>1984.6718750097193</v>
      </c>
      <c r="L670" s="304">
        <f t="shared" ca="1" si="290"/>
        <v>2023.5728948896945</v>
      </c>
      <c r="M670" s="306">
        <f t="shared" ca="1" si="306"/>
        <v>-0.88995996192994875</v>
      </c>
      <c r="N670" s="304">
        <f t="shared" ca="1" si="307"/>
        <v>-50.990949754209481</v>
      </c>
      <c r="P670" s="310">
        <f t="shared" ca="1" si="308"/>
        <v>23</v>
      </c>
      <c r="Q670" s="304">
        <f t="shared" ca="1" si="309"/>
        <v>0</v>
      </c>
      <c r="R670" s="306">
        <f t="shared" ca="1" si="310"/>
        <v>0</v>
      </c>
      <c r="S670" s="307">
        <f t="shared" ca="1" si="311"/>
        <v>10.637999999999975</v>
      </c>
      <c r="T670" s="304">
        <f t="shared" ca="1" si="291"/>
        <v>104.35877999999975</v>
      </c>
      <c r="U670" s="311">
        <f t="shared" ca="1" si="292"/>
        <v>0</v>
      </c>
      <c r="V670" s="306">
        <f t="shared" ca="1" si="293"/>
        <v>1.0038256235335938</v>
      </c>
      <c r="W670" s="304">
        <f t="shared" ca="1" si="294"/>
        <v>2.531583052300443</v>
      </c>
      <c r="Y670" s="314" t="str">
        <f t="shared" ca="1" si="312"/>
        <v/>
      </c>
      <c r="Z670" s="315" t="str">
        <f t="shared" ca="1" si="313"/>
        <v/>
      </c>
      <c r="AA670" s="316" t="str">
        <f t="shared" ca="1" si="314"/>
        <v/>
      </c>
      <c r="AC670" s="310" t="e">
        <f t="shared" ca="1" si="315"/>
        <v>#N/A</v>
      </c>
      <c r="AD670" s="323" t="e">
        <f t="shared" ca="1" si="316"/>
        <v>#N/A</v>
      </c>
      <c r="AE670" s="324" t="e">
        <f t="shared" ca="1" si="295"/>
        <v>#N/A</v>
      </c>
      <c r="AG670" s="306">
        <f t="shared" ca="1" si="317"/>
        <v>7.2366014355141317</v>
      </c>
      <c r="AH670" s="304">
        <f t="shared" ca="1" si="318"/>
        <v>-0.22400202886525056</v>
      </c>
    </row>
    <row r="671" spans="1:34" x14ac:dyDescent="0.25">
      <c r="A671" s="347">
        <f t="shared" ca="1" si="296"/>
        <v>0.1</v>
      </c>
      <c r="B671" s="304">
        <f t="shared" ca="1" si="297"/>
        <v>21.699999999999978</v>
      </c>
      <c r="D671" s="306">
        <f t="shared" ca="1" si="298"/>
        <v>-0.14979202687251017</v>
      </c>
      <c r="E671" s="307">
        <f t="shared" ca="1" si="299"/>
        <v>-9.6250819827157628</v>
      </c>
      <c r="F671" s="304">
        <f t="shared" ca="1" si="300"/>
        <v>9.6262474944972283</v>
      </c>
      <c r="G671" s="306">
        <f t="shared" ca="1" si="301"/>
        <v>15.49029361885396</v>
      </c>
      <c r="H671" s="307">
        <f t="shared" ca="1" si="302"/>
        <v>-20.103742664982402</v>
      </c>
      <c r="I671" s="304">
        <f t="shared" ca="1" si="303"/>
        <v>25.379315702716283</v>
      </c>
      <c r="J671" s="306">
        <f t="shared" ca="1" si="304"/>
        <v>396.42293450975518</v>
      </c>
      <c r="K671" s="307">
        <f t="shared" ca="1" si="305"/>
        <v>1982.7096261531346</v>
      </c>
      <c r="L671" s="304">
        <f t="shared" ca="1" si="290"/>
        <v>2021.9516820749275</v>
      </c>
      <c r="M671" s="306">
        <f t="shared" ca="1" si="306"/>
        <v>-0.9142925587241062</v>
      </c>
      <c r="N671" s="304">
        <f t="shared" ca="1" si="307"/>
        <v>-52.38510485510826</v>
      </c>
      <c r="P671" s="310">
        <f t="shared" ca="1" si="308"/>
        <v>23</v>
      </c>
      <c r="Q671" s="304">
        <f t="shared" ca="1" si="309"/>
        <v>0</v>
      </c>
      <c r="R671" s="306">
        <f t="shared" ca="1" si="310"/>
        <v>0</v>
      </c>
      <c r="S671" s="307">
        <f t="shared" ca="1" si="311"/>
        <v>10.637999999999975</v>
      </c>
      <c r="T671" s="304">
        <f t="shared" ca="1" si="291"/>
        <v>104.35877999999975</v>
      </c>
      <c r="U671" s="311">
        <f t="shared" ca="1" si="292"/>
        <v>0</v>
      </c>
      <c r="V671" s="306">
        <f t="shared" ca="1" si="293"/>
        <v>1.0040245758286332</v>
      </c>
      <c r="W671" s="304">
        <f t="shared" ca="1" si="294"/>
        <v>2.6877708834127692</v>
      </c>
      <c r="Y671" s="314" t="str">
        <f t="shared" ca="1" si="312"/>
        <v/>
      </c>
      <c r="Z671" s="315" t="str">
        <f t="shared" ca="1" si="313"/>
        <v/>
      </c>
      <c r="AA671" s="316" t="str">
        <f t="shared" ca="1" si="314"/>
        <v/>
      </c>
      <c r="AC671" s="310" t="e">
        <f t="shared" ca="1" si="315"/>
        <v>#N/A</v>
      </c>
      <c r="AD671" s="323" t="e">
        <f t="shared" ca="1" si="316"/>
        <v>#N/A</v>
      </c>
      <c r="AE671" s="324" t="e">
        <f t="shared" ca="1" si="295"/>
        <v>#N/A</v>
      </c>
      <c r="AG671" s="306">
        <f t="shared" ca="1" si="317"/>
        <v>7.3848511505547485</v>
      </c>
      <c r="AH671" s="304">
        <f t="shared" ca="1" si="318"/>
        <v>-0.23797547022940863</v>
      </c>
    </row>
    <row r="672" spans="1:34" x14ac:dyDescent="0.25">
      <c r="A672" s="347">
        <f t="shared" ca="1" si="296"/>
        <v>0.1</v>
      </c>
      <c r="B672" s="304">
        <f t="shared" ca="1" si="297"/>
        <v>21.799999999999979</v>
      </c>
      <c r="D672" s="306">
        <f t="shared" ca="1" si="298"/>
        <v>-0.15420980951534727</v>
      </c>
      <c r="E672" s="307">
        <f t="shared" ca="1" si="299"/>
        <v>-9.6098621328172182</v>
      </c>
      <c r="F672" s="304">
        <f t="shared" ca="1" si="300"/>
        <v>9.6110993584035462</v>
      </c>
      <c r="G672" s="306">
        <f t="shared" ca="1" si="301"/>
        <v>15.474872637902426</v>
      </c>
      <c r="H672" s="307">
        <f t="shared" ca="1" si="302"/>
        <v>-21.064728878264123</v>
      </c>
      <c r="I672" s="304">
        <f t="shared" ca="1" si="303"/>
        <v>26.137989323474667</v>
      </c>
      <c r="J672" s="306">
        <f t="shared" ca="1" si="304"/>
        <v>397.97119282259303</v>
      </c>
      <c r="K672" s="307">
        <f t="shared" ca="1" si="305"/>
        <v>1980.6512025759723</v>
      </c>
      <c r="L672" s="304">
        <f t="shared" ca="1" si="290"/>
        <v>2020.2376732905173</v>
      </c>
      <c r="M672" s="306">
        <f t="shared" ca="1" si="306"/>
        <v>-0.93720200344913418</v>
      </c>
      <c r="N672" s="304">
        <f t="shared" ca="1" si="307"/>
        <v>-53.697719348840607</v>
      </c>
      <c r="P672" s="310">
        <f t="shared" ca="1" si="308"/>
        <v>23</v>
      </c>
      <c r="Q672" s="304">
        <f t="shared" ca="1" si="309"/>
        <v>0</v>
      </c>
      <c r="R672" s="306">
        <f t="shared" ca="1" si="310"/>
        <v>0</v>
      </c>
      <c r="S672" s="307">
        <f t="shared" ca="1" si="311"/>
        <v>10.637999999999975</v>
      </c>
      <c r="T672" s="304">
        <f t="shared" ca="1" si="291"/>
        <v>104.35877999999975</v>
      </c>
      <c r="U672" s="311">
        <f t="shared" ca="1" si="292"/>
        <v>0</v>
      </c>
      <c r="V672" s="306">
        <f t="shared" ca="1" si="293"/>
        <v>1.0042333174486457</v>
      </c>
      <c r="W672" s="304">
        <f t="shared" ca="1" si="294"/>
        <v>2.8514585553867597</v>
      </c>
      <c r="Y672" s="314" t="str">
        <f t="shared" ca="1" si="312"/>
        <v/>
      </c>
      <c r="Z672" s="315" t="str">
        <f t="shared" ca="1" si="313"/>
        <v/>
      </c>
      <c r="AA672" s="316" t="str">
        <f t="shared" ca="1" si="314"/>
        <v/>
      </c>
      <c r="AC672" s="310" t="e">
        <f t="shared" ca="1" si="315"/>
        <v>#N/A</v>
      </c>
      <c r="AD672" s="323" t="e">
        <f t="shared" ca="1" si="316"/>
        <v>#N/A</v>
      </c>
      <c r="AE672" s="324" t="e">
        <f t="shared" ca="1" si="295"/>
        <v>#N/A</v>
      </c>
      <c r="AG672" s="306">
        <f t="shared" ca="1" si="317"/>
        <v>7.5181475486115872</v>
      </c>
      <c r="AH672" s="304">
        <f t="shared" ca="1" si="318"/>
        <v>-0.25265753745184955</v>
      </c>
    </row>
    <row r="673" spans="1:34" x14ac:dyDescent="0.25">
      <c r="A673" s="347">
        <f t="shared" ca="1" si="296"/>
        <v>0.1</v>
      </c>
      <c r="B673" s="304">
        <f t="shared" ca="1" si="297"/>
        <v>21.899999999999981</v>
      </c>
      <c r="D673" s="306">
        <f t="shared" ca="1" si="298"/>
        <v>-0.15869454001473757</v>
      </c>
      <c r="E673" s="307">
        <f t="shared" ca="1" si="299"/>
        <v>-9.593981584980309</v>
      </c>
      <c r="F673" s="304">
        <f t="shared" ca="1" si="300"/>
        <v>9.5952939824672274</v>
      </c>
      <c r="G673" s="306">
        <f t="shared" ca="1" si="301"/>
        <v>15.459003183900952</v>
      </c>
      <c r="H673" s="307">
        <f t="shared" ca="1" si="302"/>
        <v>-22.024127036762152</v>
      </c>
      <c r="I673" s="304">
        <f t="shared" ca="1" si="303"/>
        <v>26.908046216165481</v>
      </c>
      <c r="J673" s="306">
        <f t="shared" ca="1" si="304"/>
        <v>399.51788661368317</v>
      </c>
      <c r="K673" s="307">
        <f t="shared" ca="1" si="305"/>
        <v>1978.4967597802211</v>
      </c>
      <c r="L673" s="304">
        <f t="shared" ca="1" si="290"/>
        <v>2018.4310664932545</v>
      </c>
      <c r="M673" s="306">
        <f t="shared" ca="1" si="306"/>
        <v>-0.95878816771284081</v>
      </c>
      <c r="N673" s="304">
        <f t="shared" ca="1" si="307"/>
        <v>-54.934515457027125</v>
      </c>
      <c r="P673" s="310">
        <f t="shared" ca="1" si="308"/>
        <v>23</v>
      </c>
      <c r="Q673" s="304">
        <f t="shared" ca="1" si="309"/>
        <v>0</v>
      </c>
      <c r="R673" s="306">
        <f t="shared" ca="1" si="310"/>
        <v>0</v>
      </c>
      <c r="S673" s="307">
        <f t="shared" ca="1" si="311"/>
        <v>10.637999999999975</v>
      </c>
      <c r="T673" s="304">
        <f t="shared" ca="1" si="291"/>
        <v>104.35877999999975</v>
      </c>
      <c r="U673" s="311">
        <f t="shared" ca="1" si="292"/>
        <v>0</v>
      </c>
      <c r="V673" s="306">
        <f t="shared" ca="1" si="293"/>
        <v>1.0044518381106056</v>
      </c>
      <c r="W673" s="304">
        <f t="shared" ca="1" si="294"/>
        <v>3.0226059511783387</v>
      </c>
      <c r="Y673" s="314" t="str">
        <f t="shared" ca="1" si="312"/>
        <v/>
      </c>
      <c r="Z673" s="315" t="str">
        <f t="shared" ca="1" si="313"/>
        <v/>
      </c>
      <c r="AA673" s="316" t="str">
        <f t="shared" ca="1" si="314"/>
        <v/>
      </c>
      <c r="AC673" s="310" t="e">
        <f t="shared" ca="1" si="315"/>
        <v>#N/A</v>
      </c>
      <c r="AD673" s="323" t="e">
        <f t="shared" ca="1" si="316"/>
        <v>#N/A</v>
      </c>
      <c r="AE673" s="324" t="e">
        <f t="shared" ca="1" si="295"/>
        <v>#N/A</v>
      </c>
      <c r="AG673" s="306">
        <f t="shared" ca="1" si="317"/>
        <v>7.6378806604038827</v>
      </c>
      <c r="AH673" s="304">
        <f t="shared" ca="1" si="318"/>
        <v>-0.2680446094554208</v>
      </c>
    </row>
    <row r="674" spans="1:34" x14ac:dyDescent="0.25">
      <c r="A674" s="347">
        <f t="shared" ca="1" si="296"/>
        <v>0.1</v>
      </c>
      <c r="B674" s="304">
        <f t="shared" ca="1" si="297"/>
        <v>21.999999999999982</v>
      </c>
      <c r="D674" s="306">
        <f t="shared" ca="1" si="298"/>
        <v>-0.16323785102776542</v>
      </c>
      <c r="E674" s="307">
        <f t="shared" ca="1" si="299"/>
        <v>-9.5774383577339854</v>
      </c>
      <c r="F674" s="304">
        <f t="shared" ca="1" si="300"/>
        <v>9.5788293696151836</v>
      </c>
      <c r="G674" s="306">
        <f t="shared" ca="1" si="301"/>
        <v>15.442679398798175</v>
      </c>
      <c r="H674" s="307">
        <f t="shared" ca="1" si="302"/>
        <v>-22.981870872535552</v>
      </c>
      <c r="I674" s="304">
        <f t="shared" ca="1" si="303"/>
        <v>27.688314065973096</v>
      </c>
      <c r="J674" s="306">
        <f t="shared" ca="1" si="304"/>
        <v>401.06297074281815</v>
      </c>
      <c r="K674" s="307">
        <f t="shared" ca="1" si="305"/>
        <v>1976.2464598847562</v>
      </c>
      <c r="L674" s="304">
        <f t="shared" ca="1" si="290"/>
        <v>2016.5320668682871</v>
      </c>
      <c r="M674" s="306">
        <f t="shared" ca="1" si="306"/>
        <v>-0.97914460685427884</v>
      </c>
      <c r="N674" s="304">
        <f t="shared" ca="1" si="307"/>
        <v>-56.100853505746436</v>
      </c>
      <c r="P674" s="310">
        <f t="shared" ca="1" si="308"/>
        <v>23</v>
      </c>
      <c r="Q674" s="304">
        <f t="shared" ca="1" si="309"/>
        <v>0</v>
      </c>
      <c r="R674" s="306">
        <f t="shared" ca="1" si="310"/>
        <v>0</v>
      </c>
      <c r="S674" s="307">
        <f t="shared" ca="1" si="311"/>
        <v>10.637999999999975</v>
      </c>
      <c r="T674" s="304">
        <f t="shared" ca="1" si="291"/>
        <v>104.35877999999975</v>
      </c>
      <c r="U674" s="311">
        <f t="shared" ca="1" si="292"/>
        <v>0</v>
      </c>
      <c r="V674" s="306">
        <f t="shared" ca="1" si="293"/>
        <v>1.0046801271065178</v>
      </c>
      <c r="W674" s="304">
        <f t="shared" ca="1" si="294"/>
        <v>3.2011713560038255</v>
      </c>
      <c r="Y674" s="314" t="str">
        <f t="shared" ca="1" si="312"/>
        <v/>
      </c>
      <c r="Z674" s="315" t="str">
        <f t="shared" ca="1" si="313"/>
        <v/>
      </c>
      <c r="AA674" s="316" t="str">
        <f t="shared" ca="1" si="314"/>
        <v/>
      </c>
      <c r="AC674" s="310">
        <f t="shared" ca="1" si="315"/>
        <v>21.999999999999982</v>
      </c>
      <c r="AD674" s="323">
        <f t="shared" ca="1" si="316"/>
        <v>401.06297074281815</v>
      </c>
      <c r="AE674" s="324" t="e">
        <f t="shared" ca="1" si="295"/>
        <v>#N/A</v>
      </c>
      <c r="AG674" s="306">
        <f t="shared" ca="1" si="317"/>
        <v>7.7453124223309056</v>
      </c>
      <c r="AH674" s="304">
        <f t="shared" ca="1" si="318"/>
        <v>-0.2841329151323882</v>
      </c>
    </row>
    <row r="675" spans="1:34" x14ac:dyDescent="0.25">
      <c r="A675" s="347">
        <f t="shared" ca="1" si="296"/>
        <v>0.1</v>
      </c>
      <c r="B675" s="304">
        <f t="shared" ca="1" si="297"/>
        <v>22.099999999999984</v>
      </c>
      <c r="D675" s="306">
        <f t="shared" ca="1" si="298"/>
        <v>-0.16783211942893109</v>
      </c>
      <c r="E675" s="307">
        <f t="shared" ca="1" si="299"/>
        <v>-9.5602314205085523</v>
      </c>
      <c r="F675" s="304">
        <f t="shared" ca="1" si="300"/>
        <v>9.5617044732616048</v>
      </c>
      <c r="G675" s="306">
        <f t="shared" ca="1" si="301"/>
        <v>15.425896186855281</v>
      </c>
      <c r="H675" s="307">
        <f t="shared" ca="1" si="302"/>
        <v>-23.937894014586409</v>
      </c>
      <c r="I675" s="304">
        <f t="shared" ca="1" si="303"/>
        <v>28.477728895071813</v>
      </c>
      <c r="J675" s="306">
        <f t="shared" ca="1" si="304"/>
        <v>402.60639952210084</v>
      </c>
      <c r="K675" s="307">
        <f t="shared" ca="1" si="305"/>
        <v>1973.9004716404002</v>
      </c>
      <c r="L675" s="304">
        <f t="shared" ca="1" si="290"/>
        <v>2014.5408868718312</v>
      </c>
      <c r="M675" s="306">
        <f t="shared" ca="1" si="306"/>
        <v>-0.99835855087487135</v>
      </c>
      <c r="N675" s="304">
        <f t="shared" ca="1" si="307"/>
        <v>-57.201731405927013</v>
      </c>
      <c r="P675" s="310">
        <f t="shared" ca="1" si="308"/>
        <v>23</v>
      </c>
      <c r="Q675" s="304">
        <f t="shared" ca="1" si="309"/>
        <v>0</v>
      </c>
      <c r="R675" s="306">
        <f t="shared" ca="1" si="310"/>
        <v>0</v>
      </c>
      <c r="S675" s="307">
        <f t="shared" ca="1" si="311"/>
        <v>10.637999999999975</v>
      </c>
      <c r="T675" s="304">
        <f t="shared" ca="1" si="291"/>
        <v>104.35877999999975</v>
      </c>
      <c r="U675" s="311">
        <f t="shared" ca="1" si="292"/>
        <v>0</v>
      </c>
      <c r="V675" s="306">
        <f t="shared" ca="1" si="293"/>
        <v>1.0049181733001653</v>
      </c>
      <c r="W675" s="304">
        <f t="shared" ca="1" si="294"/>
        <v>3.3871114591541671</v>
      </c>
      <c r="Y675" s="314" t="str">
        <f t="shared" ca="1" si="312"/>
        <v/>
      </c>
      <c r="Z675" s="315" t="str">
        <f t="shared" ca="1" si="313"/>
        <v/>
      </c>
      <c r="AA675" s="316" t="str">
        <f t="shared" ca="1" si="314"/>
        <v/>
      </c>
      <c r="AC675" s="310" t="e">
        <f t="shared" ca="1" si="315"/>
        <v>#N/A</v>
      </c>
      <c r="AD675" s="323" t="e">
        <f t="shared" ca="1" si="316"/>
        <v>#N/A</v>
      </c>
      <c r="AE675" s="324" t="e">
        <f t="shared" ca="1" si="295"/>
        <v>#N/A</v>
      </c>
      <c r="AG675" s="306">
        <f t="shared" ca="1" si="317"/>
        <v>7.8415834885139395</v>
      </c>
      <c r="AH675" s="304">
        <f t="shared" ca="1" si="318"/>
        <v>-0.30091853318328943</v>
      </c>
    </row>
    <row r="676" spans="1:34" x14ac:dyDescent="0.25">
      <c r="A676" s="347">
        <f t="shared" ca="1" si="296"/>
        <v>0.1</v>
      </c>
      <c r="B676" s="304">
        <f t="shared" ca="1" si="297"/>
        <v>22.199999999999985</v>
      </c>
      <c r="D676" s="306">
        <f t="shared" ca="1" si="298"/>
        <v>-0.17247039388881938</v>
      </c>
      <c r="E676" s="307">
        <f t="shared" ca="1" si="299"/>
        <v>-9.5423605734438581</v>
      </c>
      <c r="F676" s="304">
        <f t="shared" ca="1" si="300"/>
        <v>9.5439190771078923</v>
      </c>
      <c r="G676" s="306">
        <f t="shared" ca="1" si="301"/>
        <v>15.408649147466399</v>
      </c>
      <c r="H676" s="307">
        <f t="shared" ca="1" si="302"/>
        <v>-24.892130071930794</v>
      </c>
      <c r="I676" s="304">
        <f t="shared" ca="1" si="303"/>
        <v>29.275324217976447</v>
      </c>
      <c r="J676" s="306">
        <f t="shared" ca="1" si="304"/>
        <v>404.14812678881691</v>
      </c>
      <c r="K676" s="307">
        <f t="shared" ca="1" si="305"/>
        <v>1971.4589704360742</v>
      </c>
      <c r="L676" s="304">
        <f t="shared" ca="1" si="290"/>
        <v>2012.4577462644465</v>
      </c>
      <c r="M676" s="306">
        <f t="shared" ca="1" si="306"/>
        <v>-1.0165110405389204</v>
      </c>
      <c r="N676" s="304">
        <f t="shared" ca="1" si="307"/>
        <v>-58.241792451331868</v>
      </c>
      <c r="P676" s="310">
        <f t="shared" ca="1" si="308"/>
        <v>23</v>
      </c>
      <c r="Q676" s="304">
        <f t="shared" ca="1" si="309"/>
        <v>0</v>
      </c>
      <c r="R676" s="306">
        <f t="shared" ca="1" si="310"/>
        <v>0</v>
      </c>
      <c r="S676" s="307">
        <f t="shared" ca="1" si="311"/>
        <v>10.637999999999975</v>
      </c>
      <c r="T676" s="304">
        <f t="shared" ca="1" si="291"/>
        <v>104.35877999999975</v>
      </c>
      <c r="U676" s="311">
        <f t="shared" ca="1" si="292"/>
        <v>0</v>
      </c>
      <c r="V676" s="306">
        <f t="shared" ca="1" si="293"/>
        <v>1.0051659651246858</v>
      </c>
      <c r="W676" s="304">
        <f t="shared" ca="1" si="294"/>
        <v>3.5803813589097349</v>
      </c>
      <c r="Y676" s="314" t="str">
        <f t="shared" ca="1" si="312"/>
        <v/>
      </c>
      <c r="Z676" s="315" t="str">
        <f t="shared" ca="1" si="313"/>
        <v/>
      </c>
      <c r="AA676" s="316" t="str">
        <f t="shared" ca="1" si="314"/>
        <v/>
      </c>
      <c r="AC676" s="310" t="e">
        <f t="shared" ca="1" si="315"/>
        <v>#N/A</v>
      </c>
      <c r="AD676" s="323" t="e">
        <f t="shared" ca="1" si="316"/>
        <v>#N/A</v>
      </c>
      <c r="AE676" s="324" t="e">
        <f t="shared" ca="1" si="295"/>
        <v>#N/A</v>
      </c>
      <c r="AG676" s="306">
        <f t="shared" ca="1" si="317"/>
        <v>7.9277215713540059</v>
      </c>
      <c r="AH676" s="304">
        <f t="shared" ca="1" si="318"/>
        <v>-0.31839739228747649</v>
      </c>
    </row>
    <row r="677" spans="1:34" x14ac:dyDescent="0.25">
      <c r="A677" s="347">
        <f t="shared" ca="1" si="296"/>
        <v>0.1</v>
      </c>
      <c r="B677" s="304">
        <f t="shared" ca="1" si="297"/>
        <v>22.299999999999986</v>
      </c>
      <c r="D677" s="306">
        <f t="shared" ca="1" si="298"/>
        <v>-0.17714632795028845</v>
      </c>
      <c r="E677" s="307">
        <f t="shared" ca="1" si="299"/>
        <v>-9.5238263455217602</v>
      </c>
      <c r="F677" s="304">
        <f t="shared" ca="1" si="300"/>
        <v>9.5254736932690456</v>
      </c>
      <c r="G677" s="306">
        <f t="shared" ca="1" si="301"/>
        <v>15.39093451467137</v>
      </c>
      <c r="H677" s="307">
        <f t="shared" ca="1" si="302"/>
        <v>-25.84451270648297</v>
      </c>
      <c r="I677" s="304">
        <f t="shared" ca="1" si="303"/>
        <v>30.080221114055362</v>
      </c>
      <c r="J677" s="306">
        <f t="shared" ca="1" si="304"/>
        <v>405.68810597192379</v>
      </c>
      <c r="K677" s="307">
        <f t="shared" ca="1" si="305"/>
        <v>1968.9221382971534</v>
      </c>
      <c r="L677" s="304">
        <f t="shared" ca="1" si="290"/>
        <v>2010.2828721360886</v>
      </c>
      <c r="M677" s="306">
        <f t="shared" ca="1" si="306"/>
        <v>-1.0336771613850952</v>
      </c>
      <c r="N677" s="304">
        <f t="shared" ca="1" si="307"/>
        <v>-59.225338726429229</v>
      </c>
      <c r="P677" s="310">
        <f t="shared" ca="1" si="308"/>
        <v>23</v>
      </c>
      <c r="Q677" s="304">
        <f t="shared" ca="1" si="309"/>
        <v>0</v>
      </c>
      <c r="R677" s="306">
        <f t="shared" ca="1" si="310"/>
        <v>0</v>
      </c>
      <c r="S677" s="307">
        <f t="shared" ca="1" si="311"/>
        <v>10.637999999999975</v>
      </c>
      <c r="T677" s="304">
        <f t="shared" ca="1" si="291"/>
        <v>104.35877999999975</v>
      </c>
      <c r="U677" s="311">
        <f t="shared" ca="1" si="292"/>
        <v>0</v>
      </c>
      <c r="V677" s="306">
        <f t="shared" ca="1" si="293"/>
        <v>1.0054234905808663</v>
      </c>
      <c r="W677" s="304">
        <f t="shared" ca="1" si="294"/>
        <v>3.780934570191389</v>
      </c>
      <c r="Y677" s="314" t="str">
        <f t="shared" ca="1" si="312"/>
        <v/>
      </c>
      <c r="Z677" s="315" t="str">
        <f t="shared" ca="1" si="313"/>
        <v/>
      </c>
      <c r="AA677" s="316" t="str">
        <f t="shared" ca="1" si="314"/>
        <v/>
      </c>
      <c r="AC677" s="310" t="e">
        <f t="shared" ca="1" si="315"/>
        <v>#N/A</v>
      </c>
      <c r="AD677" s="323" t="e">
        <f t="shared" ca="1" si="316"/>
        <v>#N/A</v>
      </c>
      <c r="AE677" s="324" t="e">
        <f t="shared" ca="1" si="295"/>
        <v>#N/A</v>
      </c>
      <c r="AG677" s="306">
        <f t="shared" ca="1" si="317"/>
        <v>8.004650497300581</v>
      </c>
      <c r="AH677" s="304">
        <f t="shared" ca="1" si="318"/>
        <v>-0.33656527156511967</v>
      </c>
    </row>
    <row r="678" spans="1:34" x14ac:dyDescent="0.25">
      <c r="A678" s="347">
        <f t="shared" ca="1" si="296"/>
        <v>0.1</v>
      </c>
      <c r="B678" s="304">
        <f t="shared" ca="1" si="297"/>
        <v>22.399999999999988</v>
      </c>
      <c r="D678" s="306">
        <f t="shared" ca="1" si="298"/>
        <v>-0.18185411883643945</v>
      </c>
      <c r="E678" s="307">
        <f t="shared" ca="1" si="299"/>
        <v>-9.5046299082414762</v>
      </c>
      <c r="F678" s="304">
        <f t="shared" ca="1" si="300"/>
        <v>9.5063694759448598</v>
      </c>
      <c r="G678" s="306">
        <f t="shared" ca="1" si="301"/>
        <v>15.372749102787726</v>
      </c>
      <c r="H678" s="307">
        <f t="shared" ca="1" si="302"/>
        <v>-26.794975697307116</v>
      </c>
      <c r="I678" s="304">
        <f t="shared" ca="1" si="303"/>
        <v>30.891619212927957</v>
      </c>
      <c r="J678" s="306">
        <f t="shared" ca="1" si="304"/>
        <v>407.22629015279676</v>
      </c>
      <c r="K678" s="307">
        <f t="shared" ca="1" si="305"/>
        <v>1966.290163876964</v>
      </c>
      <c r="L678" s="304">
        <f t="shared" ca="1" si="290"/>
        <v>2008.0164989239775</v>
      </c>
      <c r="M678" s="306">
        <f t="shared" ca="1" si="306"/>
        <v>-1.0499263399878274</v>
      </c>
      <c r="N678" s="304">
        <f t="shared" ca="1" si="307"/>
        <v>-60.156348080920061</v>
      </c>
      <c r="P678" s="310">
        <f t="shared" ca="1" si="308"/>
        <v>23</v>
      </c>
      <c r="Q678" s="304">
        <f t="shared" ca="1" si="309"/>
        <v>0</v>
      </c>
      <c r="R678" s="306">
        <f t="shared" ca="1" si="310"/>
        <v>0</v>
      </c>
      <c r="S678" s="307">
        <f t="shared" ca="1" si="311"/>
        <v>10.637999999999975</v>
      </c>
      <c r="T678" s="304">
        <f t="shared" ca="1" si="291"/>
        <v>104.35877999999975</v>
      </c>
      <c r="U678" s="311">
        <f t="shared" ca="1" si="292"/>
        <v>0</v>
      </c>
      <c r="V678" s="306">
        <f t="shared" ca="1" si="293"/>
        <v>1.0056907372360637</v>
      </c>
      <c r="W678" s="304">
        <f t="shared" ca="1" si="294"/>
        <v>3.9887230346375087</v>
      </c>
      <c r="Y678" s="314" t="str">
        <f t="shared" ca="1" si="312"/>
        <v/>
      </c>
      <c r="Z678" s="315" t="str">
        <f t="shared" ca="1" si="313"/>
        <v/>
      </c>
      <c r="AA678" s="316" t="str">
        <f t="shared" ca="1" si="314"/>
        <v/>
      </c>
      <c r="AC678" s="310" t="e">
        <f t="shared" ca="1" si="315"/>
        <v>#N/A</v>
      </c>
      <c r="AD678" s="323" t="e">
        <f t="shared" ca="1" si="316"/>
        <v>#N/A</v>
      </c>
      <c r="AE678" s="324" t="e">
        <f t="shared" ca="1" si="295"/>
        <v>#N/A</v>
      </c>
      <c r="AG678" s="306">
        <f t="shared" ca="1" si="317"/>
        <v>8.0731994182801472</v>
      </c>
      <c r="AH678" s="304">
        <f t="shared" ca="1" si="318"/>
        <v>-0.35541780129642769</v>
      </c>
    </row>
    <row r="679" spans="1:34" x14ac:dyDescent="0.25">
      <c r="A679" s="347">
        <f t="shared" ca="1" si="296"/>
        <v>0.1</v>
      </c>
      <c r="B679" s="304">
        <f t="shared" ca="1" si="297"/>
        <v>22.499999999999989</v>
      </c>
      <c r="D679" s="306">
        <f t="shared" ca="1" si="298"/>
        <v>-0.18658845194551982</v>
      </c>
      <c r="E679" s="307">
        <f t="shared" ca="1" si="299"/>
        <v>-9.4847730024181747</v>
      </c>
      <c r="F679" s="304">
        <f t="shared" ca="1" si="300"/>
        <v>9.4866081482160993</v>
      </c>
      <c r="G679" s="306">
        <f t="shared" ca="1" si="301"/>
        <v>15.354090257593173</v>
      </c>
      <c r="H679" s="307">
        <f t="shared" ca="1" si="302"/>
        <v>-27.743452997548932</v>
      </c>
      <c r="I679" s="304">
        <f t="shared" ca="1" si="303"/>
        <v>31.708788558781688</v>
      </c>
      <c r="J679" s="306">
        <f t="shared" ca="1" si="304"/>
        <v>408.76263212081579</v>
      </c>
      <c r="K679" s="307">
        <f t="shared" ca="1" si="305"/>
        <v>1963.5632424422213</v>
      </c>
      <c r="L679" s="304">
        <f t="shared" ca="1" si="290"/>
        <v>2005.6588684241763</v>
      </c>
      <c r="M679" s="306">
        <f t="shared" ca="1" si="306"/>
        <v>-1.0653226760427388</v>
      </c>
      <c r="N679" s="304">
        <f t="shared" ca="1" si="307"/>
        <v>-61.038493156831592</v>
      </c>
      <c r="P679" s="310">
        <f t="shared" ca="1" si="308"/>
        <v>23</v>
      </c>
      <c r="Q679" s="304">
        <f t="shared" ca="1" si="309"/>
        <v>0</v>
      </c>
      <c r="R679" s="306">
        <f t="shared" ca="1" si="310"/>
        <v>0</v>
      </c>
      <c r="S679" s="307">
        <f t="shared" ca="1" si="311"/>
        <v>10.637999999999975</v>
      </c>
      <c r="T679" s="304">
        <f t="shared" ca="1" si="291"/>
        <v>104.35877999999975</v>
      </c>
      <c r="U679" s="311">
        <f t="shared" ca="1" si="292"/>
        <v>0</v>
      </c>
      <c r="V679" s="306">
        <f t="shared" ca="1" si="293"/>
        <v>1.0059676922236724</v>
      </c>
      <c r="W679" s="304">
        <f t="shared" ca="1" si="294"/>
        <v>4.2036971328423647</v>
      </c>
      <c r="Y679" s="314" t="str">
        <f t="shared" ca="1" si="312"/>
        <v/>
      </c>
      <c r="Z679" s="315" t="str">
        <f t="shared" ca="1" si="313"/>
        <v/>
      </c>
      <c r="AA679" s="316" t="str">
        <f t="shared" ca="1" si="314"/>
        <v/>
      </c>
      <c r="AC679" s="310" t="e">
        <f t="shared" ca="1" si="315"/>
        <v>#N/A</v>
      </c>
      <c r="AD679" s="323" t="e">
        <f t="shared" ca="1" si="316"/>
        <v>#N/A</v>
      </c>
      <c r="AE679" s="324" t="e">
        <f t="shared" ca="1" si="295"/>
        <v>#N/A</v>
      </c>
      <c r="AG679" s="306">
        <f t="shared" ca="1" si="317"/>
        <v>8.1341118089360656</v>
      </c>
      <c r="AH679" s="304">
        <f t="shared" ca="1" si="318"/>
        <v>-0.37495046386891501</v>
      </c>
    </row>
    <row r="680" spans="1:34" x14ac:dyDescent="0.25">
      <c r="A680" s="347">
        <f t="shared" ca="1" si="296"/>
        <v>0.1</v>
      </c>
      <c r="B680" s="304">
        <f t="shared" ca="1" si="297"/>
        <v>22.599999999999991</v>
      </c>
      <c r="D680" s="306">
        <f t="shared" ca="1" si="298"/>
        <v>-0.19134445080858964</v>
      </c>
      <c r="E680" s="307">
        <f t="shared" ca="1" si="299"/>
        <v>-9.4642578760259255</v>
      </c>
      <c r="F680" s="304">
        <f t="shared" ca="1" si="300"/>
        <v>9.466191939886599</v>
      </c>
      <c r="G680" s="306">
        <f t="shared" ca="1" si="301"/>
        <v>15.334955812512314</v>
      </c>
      <c r="H680" s="307">
        <f t="shared" ca="1" si="302"/>
        <v>-28.689878785151524</v>
      </c>
      <c r="I680" s="304">
        <f t="shared" ca="1" si="303"/>
        <v>32.53106230172007</v>
      </c>
      <c r="J680" s="306">
        <f t="shared" ca="1" si="304"/>
        <v>410.29708442432104</v>
      </c>
      <c r="K680" s="307">
        <f t="shared" ca="1" si="305"/>
        <v>1960.7415758530863</v>
      </c>
      <c r="L680" s="304">
        <f t="shared" ca="1" si="290"/>
        <v>2003.2102297976471</v>
      </c>
      <c r="M680" s="306">
        <f t="shared" ca="1" si="306"/>
        <v>-1.0799252910675863</v>
      </c>
      <c r="N680" s="304">
        <f t="shared" ca="1" si="307"/>
        <v>-61.875161367609671</v>
      </c>
      <c r="P680" s="310">
        <f t="shared" ca="1" si="308"/>
        <v>23</v>
      </c>
      <c r="Q680" s="304">
        <f t="shared" ca="1" si="309"/>
        <v>0</v>
      </c>
      <c r="R680" s="306">
        <f t="shared" ca="1" si="310"/>
        <v>0</v>
      </c>
      <c r="S680" s="307">
        <f t="shared" ca="1" si="311"/>
        <v>10.637999999999975</v>
      </c>
      <c r="T680" s="304">
        <f t="shared" ca="1" si="291"/>
        <v>104.35877999999975</v>
      </c>
      <c r="U680" s="311">
        <f t="shared" ca="1" si="292"/>
        <v>0</v>
      </c>
      <c r="V680" s="306">
        <f t="shared" ca="1" si="293"/>
        <v>1.0062543422430645</v>
      </c>
      <c r="W680" s="304">
        <f t="shared" ca="1" si="294"/>
        <v>4.4258056985295724</v>
      </c>
      <c r="Y680" s="314" t="str">
        <f t="shared" ca="1" si="312"/>
        <v/>
      </c>
      <c r="Z680" s="315" t="str">
        <f t="shared" ca="1" si="313"/>
        <v/>
      </c>
      <c r="AA680" s="316" t="str">
        <f t="shared" ca="1" si="314"/>
        <v/>
      </c>
      <c r="AC680" s="310" t="e">
        <f t="shared" ca="1" si="315"/>
        <v>#N/A</v>
      </c>
      <c r="AD680" s="323" t="e">
        <f t="shared" ca="1" si="316"/>
        <v>#N/A</v>
      </c>
      <c r="AE680" s="324" t="e">
        <f t="shared" ca="1" si="295"/>
        <v>#N/A</v>
      </c>
      <c r="AG680" s="306">
        <f t="shared" ca="1" si="317"/>
        <v>8.1880540182383577</v>
      </c>
      <c r="AH680" s="304">
        <f t="shared" ca="1" si="318"/>
        <v>-0.39515859492784117</v>
      </c>
    </row>
    <row r="681" spans="1:34" x14ac:dyDescent="0.25">
      <c r="A681" s="347">
        <f t="shared" ca="1" si="296"/>
        <v>0.1</v>
      </c>
      <c r="B681" s="304">
        <f t="shared" ca="1" si="297"/>
        <v>22.699999999999992</v>
      </c>
      <c r="D681" s="306">
        <f t="shared" ca="1" si="298"/>
        <v>-0.19611763217832284</v>
      </c>
      <c r="E681" s="307">
        <f t="shared" ca="1" si="299"/>
        <v>-9.4430872313152623</v>
      </c>
      <c r="F681" s="304">
        <f t="shared" ca="1" si="300"/>
        <v>9.4451235346013647</v>
      </c>
      <c r="G681" s="306">
        <f t="shared" ca="1" si="301"/>
        <v>15.315344049294483</v>
      </c>
      <c r="H681" s="307">
        <f t="shared" ca="1" si="302"/>
        <v>-29.634187508283052</v>
      </c>
      <c r="I681" s="304">
        <f t="shared" ca="1" si="303"/>
        <v>33.357830154617957</v>
      </c>
      <c r="J681" s="306">
        <f t="shared" ca="1" si="304"/>
        <v>411.82959941741137</v>
      </c>
      <c r="K681" s="307">
        <f t="shared" ca="1" si="305"/>
        <v>1957.8253725384145</v>
      </c>
      <c r="L681" s="304">
        <f t="shared" ca="1" si="290"/>
        <v>2000.670839571439</v>
      </c>
      <c r="M681" s="306">
        <f t="shared" ca="1" si="306"/>
        <v>-1.0937886800617937</v>
      </c>
      <c r="N681" s="304">
        <f t="shared" ca="1" si="307"/>
        <v>-62.669475046725879</v>
      </c>
      <c r="P681" s="310">
        <f t="shared" ca="1" si="308"/>
        <v>23</v>
      </c>
      <c r="Q681" s="304">
        <f t="shared" ca="1" si="309"/>
        <v>0</v>
      </c>
      <c r="R681" s="306">
        <f t="shared" ca="1" si="310"/>
        <v>0</v>
      </c>
      <c r="S681" s="307">
        <f t="shared" ca="1" si="311"/>
        <v>10.637999999999975</v>
      </c>
      <c r="T681" s="304">
        <f t="shared" ca="1" si="291"/>
        <v>104.35877999999975</v>
      </c>
      <c r="U681" s="311">
        <f t="shared" ca="1" si="292"/>
        <v>0</v>
      </c>
      <c r="V681" s="306">
        <f t="shared" ca="1" si="293"/>
        <v>1.0065506735599568</v>
      </c>
      <c r="W681" s="304">
        <f t="shared" ca="1" si="294"/>
        <v>4.6549960344667394</v>
      </c>
      <c r="Y681" s="314" t="str">
        <f t="shared" ca="1" si="312"/>
        <v/>
      </c>
      <c r="Z681" s="315" t="str">
        <f t="shared" ca="1" si="313"/>
        <v/>
      </c>
      <c r="AA681" s="316" t="str">
        <f t="shared" ca="1" si="314"/>
        <v/>
      </c>
      <c r="AC681" s="310" t="e">
        <f t="shared" ca="1" si="315"/>
        <v>#N/A</v>
      </c>
      <c r="AD681" s="323" t="e">
        <f t="shared" ca="1" si="316"/>
        <v>#N/A</v>
      </c>
      <c r="AE681" s="324" t="e">
        <f t="shared" ca="1" si="295"/>
        <v>#N/A</v>
      </c>
      <c r="AG681" s="306">
        <f t="shared" ca="1" si="317"/>
        <v>8.2356232426621983</v>
      </c>
      <c r="AH681" s="304">
        <f t="shared" ca="1" si="318"/>
        <v>-0.41603738470855262</v>
      </c>
    </row>
    <row r="682" spans="1:34" x14ac:dyDescent="0.25">
      <c r="A682" s="347">
        <f t="shared" ca="1" si="296"/>
        <v>0.1</v>
      </c>
      <c r="B682" s="304">
        <f t="shared" ca="1" si="297"/>
        <v>22.799999999999994</v>
      </c>
      <c r="D682" s="306">
        <f t="shared" ca="1" si="298"/>
        <v>-0.20090386586039455</v>
      </c>
      <c r="E682" s="307">
        <f t="shared" ca="1" si="299"/>
        <v>-9.4212641797087073</v>
      </c>
      <c r="F682" s="304">
        <f t="shared" ca="1" si="300"/>
        <v>9.4234060247439206</v>
      </c>
      <c r="G682" s="306">
        <f t="shared" ca="1" si="301"/>
        <v>15.295253662708443</v>
      </c>
      <c r="H682" s="307">
        <f t="shared" ca="1" si="302"/>
        <v>-30.576313926253924</v>
      </c>
      <c r="I682" s="304">
        <f t="shared" ca="1" si="303"/>
        <v>34.188532550014862</v>
      </c>
      <c r="J682" s="306">
        <f t="shared" ca="1" si="304"/>
        <v>413.36012930301155</v>
      </c>
      <c r="K682" s="307">
        <f t="shared" ca="1" si="305"/>
        <v>1954.8148474666878</v>
      </c>
      <c r="L682" s="304">
        <f t="shared" ca="1" si="290"/>
        <v>1998.0409616355746</v>
      </c>
      <c r="M682" s="306">
        <f t="shared" ca="1" si="306"/>
        <v>-1.1069630566780653</v>
      </c>
      <c r="N682" s="304">
        <f t="shared" ca="1" si="307"/>
        <v>-63.424311224554081</v>
      </c>
      <c r="P682" s="310">
        <f t="shared" ca="1" si="308"/>
        <v>23</v>
      </c>
      <c r="Q682" s="304">
        <f t="shared" ca="1" si="309"/>
        <v>0</v>
      </c>
      <c r="R682" s="306">
        <f t="shared" ca="1" si="310"/>
        <v>0</v>
      </c>
      <c r="S682" s="307">
        <f t="shared" ca="1" si="311"/>
        <v>10.637999999999975</v>
      </c>
      <c r="T682" s="304">
        <f t="shared" ca="1" si="291"/>
        <v>104.35877999999975</v>
      </c>
      <c r="U682" s="311">
        <f t="shared" ca="1" si="292"/>
        <v>0</v>
      </c>
      <c r="V682" s="306">
        <f t="shared" ca="1" si="293"/>
        <v>1.0068566720071424</v>
      </c>
      <c r="W682" s="304">
        <f t="shared" ca="1" si="294"/>
        <v>4.8912139299542847</v>
      </c>
      <c r="Y682" s="314" t="str">
        <f t="shared" ca="1" si="312"/>
        <v/>
      </c>
      <c r="Z682" s="315" t="str">
        <f t="shared" ca="1" si="313"/>
        <v/>
      </c>
      <c r="AA682" s="316" t="str">
        <f t="shared" ca="1" si="314"/>
        <v/>
      </c>
      <c r="AC682" s="310" t="e">
        <f t="shared" ca="1" si="315"/>
        <v>#N/A</v>
      </c>
      <c r="AD682" s="323" t="e">
        <f t="shared" ca="1" si="316"/>
        <v>#N/A</v>
      </c>
      <c r="AE682" s="324" t="e">
        <f t="shared" ca="1" si="295"/>
        <v>#N/A</v>
      </c>
      <c r="AG682" s="306">
        <f t="shared" ca="1" si="317"/>
        <v>8.2773548567231536</v>
      </c>
      <c r="AH682" s="304">
        <f t="shared" ca="1" si="318"/>
        <v>-0.43758187953250144</v>
      </c>
    </row>
    <row r="683" spans="1:34" x14ac:dyDescent="0.25">
      <c r="A683" s="347">
        <f t="shared" ca="1" si="296"/>
        <v>0.1</v>
      </c>
      <c r="B683" s="304">
        <f t="shared" ca="1" si="297"/>
        <v>22.899999999999995</v>
      </c>
      <c r="D683" s="306">
        <f t="shared" ca="1" si="298"/>
        <v>-0.20569933887657296</v>
      </c>
      <c r="E683" s="307">
        <f t="shared" ca="1" si="299"/>
        <v>-9.3987922032148088</v>
      </c>
      <c r="F683" s="304">
        <f t="shared" ca="1" si="300"/>
        <v>9.4010428728532958</v>
      </c>
      <c r="G683" s="306">
        <f t="shared" ca="1" si="301"/>
        <v>15.274683728820786</v>
      </c>
      <c r="H683" s="307">
        <f t="shared" ca="1" si="302"/>
        <v>-31.516193146575404</v>
      </c>
      <c r="I683" s="304">
        <f t="shared" ca="1" si="303"/>
        <v>35.022655431416808</v>
      </c>
      <c r="J683" s="306">
        <f t="shared" ca="1" si="304"/>
        <v>414.88862617258803</v>
      </c>
      <c r="K683" s="307">
        <f t="shared" ca="1" si="305"/>
        <v>1951.7102221130463</v>
      </c>
      <c r="L683" s="304">
        <f t="shared" ca="1" si="290"/>
        <v>1995.3208672361282</v>
      </c>
      <c r="M683" s="306">
        <f t="shared" ca="1" si="306"/>
        <v>-1.1194946856106802</v>
      </c>
      <c r="N683" s="304">
        <f t="shared" ca="1" si="307"/>
        <v>-64.14232067281695</v>
      </c>
      <c r="P683" s="310">
        <f t="shared" ca="1" si="308"/>
        <v>23</v>
      </c>
      <c r="Q683" s="304">
        <f t="shared" ca="1" si="309"/>
        <v>0</v>
      </c>
      <c r="R683" s="306">
        <f t="shared" ca="1" si="310"/>
        <v>0</v>
      </c>
      <c r="S683" s="307">
        <f t="shared" ca="1" si="311"/>
        <v>10.637999999999975</v>
      </c>
      <c r="T683" s="304">
        <f t="shared" ca="1" si="291"/>
        <v>104.35877999999975</v>
      </c>
      <c r="U683" s="311">
        <f t="shared" ca="1" si="292"/>
        <v>0</v>
      </c>
      <c r="V683" s="306">
        <f t="shared" ca="1" si="293"/>
        <v>1.0071723229855627</v>
      </c>
      <c r="W683" s="304">
        <f t="shared" ca="1" si="294"/>
        <v>5.1344036797442278</v>
      </c>
      <c r="Y683" s="314" t="str">
        <f t="shared" ca="1" si="312"/>
        <v/>
      </c>
      <c r="Z683" s="315" t="str">
        <f t="shared" ca="1" si="313"/>
        <v/>
      </c>
      <c r="AA683" s="316" t="str">
        <f t="shared" ca="1" si="314"/>
        <v/>
      </c>
      <c r="AC683" s="310" t="e">
        <f t="shared" ca="1" si="315"/>
        <v>#N/A</v>
      </c>
      <c r="AD683" s="323" t="e">
        <f t="shared" ca="1" si="316"/>
        <v>#N/A</v>
      </c>
      <c r="AE683" s="324" t="e">
        <f t="shared" ca="1" si="295"/>
        <v>#N/A</v>
      </c>
      <c r="AG683" s="306">
        <f t="shared" ca="1" si="317"/>
        <v>8.3137290830176802</v>
      </c>
      <c r="AH683" s="304">
        <f t="shared" ca="1" si="318"/>
        <v>-0.45978698345124047</v>
      </c>
    </row>
    <row r="684" spans="1:34" x14ac:dyDescent="0.25">
      <c r="A684" s="347">
        <f t="shared" ca="1" si="296"/>
        <v>0.1</v>
      </c>
      <c r="B684" s="304">
        <f t="shared" ca="1" si="297"/>
        <v>22.999999999999996</v>
      </c>
      <c r="D684" s="306">
        <f t="shared" ca="1" si="298"/>
        <v>-0.21050052354924631</v>
      </c>
      <c r="E684" s="307">
        <f t="shared" ca="1" si="299"/>
        <v>-9.3756751213044307</v>
      </c>
      <c r="F684" s="304">
        <f t="shared" ca="1" si="300"/>
        <v>9.3780378785042959</v>
      </c>
      <c r="G684" s="306">
        <f t="shared" ca="1" si="301"/>
        <v>15.253633676465862</v>
      </c>
      <c r="H684" s="307">
        <f t="shared" ca="1" si="302"/>
        <v>-32.453760658705846</v>
      </c>
      <c r="I684" s="304">
        <f t="shared" ca="1" si="303"/>
        <v>35.859725615631483</v>
      </c>
      <c r="J684" s="306">
        <f t="shared" ca="1" si="304"/>
        <v>416.41504204285235</v>
      </c>
      <c r="K684" s="307">
        <f t="shared" ca="1" si="305"/>
        <v>1948.5117244227822</v>
      </c>
      <c r="L684" s="304">
        <f t="shared" ca="1" si="290"/>
        <v>1992.5108349649179</v>
      </c>
      <c r="M684" s="306">
        <f t="shared" ca="1" si="306"/>
        <v>-1.1314261982321252</v>
      </c>
      <c r="N684" s="304">
        <f t="shared" ca="1" si="307"/>
        <v>-64.825945989232821</v>
      </c>
      <c r="P684" s="310">
        <f t="shared" ca="1" si="308"/>
        <v>23</v>
      </c>
      <c r="Q684" s="304">
        <f t="shared" ca="1" si="309"/>
        <v>0</v>
      </c>
      <c r="R684" s="306">
        <f t="shared" ca="1" si="310"/>
        <v>0</v>
      </c>
      <c r="S684" s="307">
        <f t="shared" ca="1" si="311"/>
        <v>10.637999999999975</v>
      </c>
      <c r="T684" s="304">
        <f t="shared" ca="1" si="291"/>
        <v>104.35877999999975</v>
      </c>
      <c r="U684" s="311">
        <f t="shared" ca="1" si="292"/>
        <v>0</v>
      </c>
      <c r="V684" s="306">
        <f t="shared" ca="1" si="293"/>
        <v>1.0074976114656649</v>
      </c>
      <c r="W684" s="304">
        <f t="shared" ca="1" si="294"/>
        <v>5.384508104263479</v>
      </c>
      <c r="Y684" s="314" t="str">
        <f t="shared" ca="1" si="312"/>
        <v/>
      </c>
      <c r="Z684" s="315" t="str">
        <f t="shared" ca="1" si="313"/>
        <v/>
      </c>
      <c r="AA684" s="316" t="str">
        <f t="shared" ca="1" si="314"/>
        <v/>
      </c>
      <c r="AC684" s="310">
        <f t="shared" ca="1" si="315"/>
        <v>22.999999999999996</v>
      </c>
      <c r="AD684" s="323">
        <f t="shared" ca="1" si="316"/>
        <v>416.41504204285235</v>
      </c>
      <c r="AE684" s="324" t="e">
        <f t="shared" ca="1" si="295"/>
        <v>#N/A</v>
      </c>
      <c r="AG684" s="306">
        <f t="shared" ca="1" si="317"/>
        <v>8.3451770141457473</v>
      </c>
      <c r="AH684" s="304">
        <f t="shared" ca="1" si="318"/>
        <v>-0.48264746002483927</v>
      </c>
    </row>
    <row r="685" spans="1:34" x14ac:dyDescent="0.25">
      <c r="A685" s="347">
        <f t="shared" ca="1" si="296"/>
        <v>0.1</v>
      </c>
      <c r="B685" s="304">
        <f t="shared" ca="1" si="297"/>
        <v>23.099999999999998</v>
      </c>
      <c r="D685" s="306">
        <f t="shared" ca="1" si="298"/>
        <v>-0.21530414911227594</v>
      </c>
      <c r="E685" s="307">
        <f t="shared" ca="1" si="299"/>
        <v>-9.3519170623654944</v>
      </c>
      <c r="F685" s="304">
        <f t="shared" ca="1" si="300"/>
        <v>9.3543951497671838</v>
      </c>
      <c r="G685" s="306">
        <f t="shared" ca="1" si="301"/>
        <v>15.232103261554634</v>
      </c>
      <c r="H685" s="307">
        <f t="shared" ca="1" si="302"/>
        <v>-33.388952364942398</v>
      </c>
      <c r="I685" s="304">
        <f t="shared" ca="1" si="303"/>
        <v>36.699306666462462</v>
      </c>
      <c r="J685" s="306">
        <f t="shared" ca="1" si="304"/>
        <v>417.93932888975337</v>
      </c>
      <c r="K685" s="307">
        <f t="shared" ca="1" si="305"/>
        <v>1945.2195887715998</v>
      </c>
      <c r="L685" s="304">
        <f t="shared" ca="1" si="290"/>
        <v>1989.6111507461876</v>
      </c>
      <c r="M685" s="306">
        <f t="shared" ca="1" si="306"/>
        <v>-1.1427968892039067</v>
      </c>
      <c r="N685" s="304">
        <f t="shared" ca="1" si="307"/>
        <v>-65.477438592063407</v>
      </c>
      <c r="P685" s="310">
        <f t="shared" ca="1" si="308"/>
        <v>23</v>
      </c>
      <c r="Q685" s="304">
        <f t="shared" ca="1" si="309"/>
        <v>0</v>
      </c>
      <c r="R685" s="306">
        <f t="shared" ca="1" si="310"/>
        <v>0</v>
      </c>
      <c r="S685" s="307">
        <f t="shared" ca="1" si="311"/>
        <v>10.637999999999975</v>
      </c>
      <c r="T685" s="304">
        <f t="shared" ca="1" si="291"/>
        <v>104.35877999999975</v>
      </c>
      <c r="U685" s="311">
        <f t="shared" ca="1" si="292"/>
        <v>0</v>
      </c>
      <c r="V685" s="306">
        <f t="shared" ca="1" si="293"/>
        <v>1.0078325219890321</v>
      </c>
      <c r="W685" s="304">
        <f t="shared" ca="1" si="294"/>
        <v>5.6414685710322159</v>
      </c>
      <c r="Y685" s="314" t="str">
        <f t="shared" ca="1" si="312"/>
        <v/>
      </c>
      <c r="Z685" s="315" t="str">
        <f t="shared" ca="1" si="313"/>
        <v/>
      </c>
      <c r="AA685" s="316" t="str">
        <f t="shared" ca="1" si="314"/>
        <v/>
      </c>
      <c r="AC685" s="310" t="e">
        <f t="shared" ca="1" si="315"/>
        <v>#N/A</v>
      </c>
      <c r="AD685" s="323" t="e">
        <f t="shared" ca="1" si="316"/>
        <v>#N/A</v>
      </c>
      <c r="AE685" s="324" t="e">
        <f t="shared" ca="1" si="295"/>
        <v>#N/A</v>
      </c>
      <c r="AG685" s="306">
        <f t="shared" ca="1" si="317"/>
        <v>8.3720860176249428</v>
      </c>
      <c r="AH685" s="304">
        <f t="shared" ca="1" si="318"/>
        <v>-0.50615793422292643</v>
      </c>
    </row>
    <row r="686" spans="1:34" x14ac:dyDescent="0.25">
      <c r="A686" s="347">
        <f t="shared" ca="1" si="296"/>
        <v>0.1</v>
      </c>
      <c r="B686" s="304">
        <f t="shared" ca="1" si="297"/>
        <v>23.2</v>
      </c>
      <c r="D686" s="306">
        <f t="shared" ca="1" si="298"/>
        <v>-0.22010717647689279</v>
      </c>
      <c r="E686" s="307">
        <f t="shared" ca="1" si="299"/>
        <v>-9.3275224389977733</v>
      </c>
      <c r="F686" s="304">
        <f t="shared" ca="1" si="300"/>
        <v>9.3301190785082486</v>
      </c>
      <c r="G686" s="306">
        <f t="shared" ca="1" si="301"/>
        <v>15.210092543906946</v>
      </c>
      <c r="H686" s="307">
        <f t="shared" ca="1" si="302"/>
        <v>-34.321704608842175</v>
      </c>
      <c r="I686" s="304">
        <f t="shared" ca="1" si="303"/>
        <v>37.540995224565265</v>
      </c>
      <c r="J686" s="306">
        <f t="shared" ca="1" si="304"/>
        <v>419.46143868002645</v>
      </c>
      <c r="K686" s="307">
        <f t="shared" ca="1" si="305"/>
        <v>1941.8340559229105</v>
      </c>
      <c r="L686" s="304">
        <f t="shared" ca="1" si="290"/>
        <v>1986.6221078205938</v>
      </c>
      <c r="M686" s="306">
        <f t="shared" ca="1" si="306"/>
        <v>-1.1536429930008212</v>
      </c>
      <c r="N686" s="304">
        <f t="shared" ca="1" si="307"/>
        <v>-66.098874563787419</v>
      </c>
      <c r="P686" s="310">
        <f t="shared" ca="1" si="308"/>
        <v>23</v>
      </c>
      <c r="Q686" s="304">
        <f t="shared" ca="1" si="309"/>
        <v>0</v>
      </c>
      <c r="R686" s="306">
        <f t="shared" ca="1" si="310"/>
        <v>0</v>
      </c>
      <c r="S686" s="307">
        <f t="shared" ca="1" si="311"/>
        <v>10.637999999999975</v>
      </c>
      <c r="T686" s="304">
        <f t="shared" ca="1" si="291"/>
        <v>104.35877999999975</v>
      </c>
      <c r="U686" s="311">
        <f t="shared" ca="1" si="292"/>
        <v>0</v>
      </c>
      <c r="V686" s="306">
        <f t="shared" ca="1" si="293"/>
        <v>1.0081770386702515</v>
      </c>
      <c r="W686" s="304">
        <f t="shared" ca="1" si="294"/>
        <v>5.9052250171809977</v>
      </c>
      <c r="Y686" s="314" t="str">
        <f t="shared" ca="1" si="312"/>
        <v/>
      </c>
      <c r="Z686" s="315" t="str">
        <f t="shared" ca="1" si="313"/>
        <v/>
      </c>
      <c r="AA686" s="316" t="str">
        <f t="shared" ca="1" si="314"/>
        <v/>
      </c>
      <c r="AC686" s="310" t="e">
        <f t="shared" ca="1" si="315"/>
        <v>#N/A</v>
      </c>
      <c r="AD686" s="323" t="e">
        <f t="shared" ca="1" si="316"/>
        <v>#N/A</v>
      </c>
      <c r="AE686" s="324" t="e">
        <f t="shared" ca="1" si="295"/>
        <v>#N/A</v>
      </c>
      <c r="AG686" s="306">
        <f t="shared" ca="1" si="317"/>
        <v>8.3948045655986157</v>
      </c>
      <c r="AH686" s="304">
        <f t="shared" ca="1" si="318"/>
        <v>-0.53031289443807383</v>
      </c>
    </row>
    <row r="687" spans="1:34" x14ac:dyDescent="0.25">
      <c r="A687" s="347">
        <f t="shared" ca="1" si="296"/>
        <v>0.1</v>
      </c>
      <c r="B687" s="304">
        <f t="shared" ca="1" si="297"/>
        <v>23.3</v>
      </c>
      <c r="D687" s="306">
        <f t="shared" ca="1" si="298"/>
        <v>-0.22490677580973856</v>
      </c>
      <c r="E687" s="307">
        <f t="shared" ca="1" si="299"/>
        <v>-9.3024959265312823</v>
      </c>
      <c r="F687" s="304">
        <f t="shared" ca="1" si="300"/>
        <v>9.3052143189147571</v>
      </c>
      <c r="G687" s="306">
        <f t="shared" ca="1" si="301"/>
        <v>15.187601866325972</v>
      </c>
      <c r="H687" s="307">
        <f t="shared" ca="1" si="302"/>
        <v>-35.251954201495302</v>
      </c>
      <c r="I687" s="304">
        <f t="shared" ca="1" si="303"/>
        <v>38.384417743067957</v>
      </c>
      <c r="J687" s="306">
        <f t="shared" ca="1" si="304"/>
        <v>420.98132340053809</v>
      </c>
      <c r="K687" s="307">
        <f t="shared" ca="1" si="305"/>
        <v>1938.3553729823936</v>
      </c>
      <c r="L687" s="304">
        <f t="shared" ca="1" si="290"/>
        <v>1983.5440067267939</v>
      </c>
      <c r="M687" s="306">
        <f t="shared" ca="1" si="306"/>
        <v>-1.1639979401399168</v>
      </c>
      <c r="N687" s="304">
        <f t="shared" ca="1" si="307"/>
        <v>-66.692169331938672</v>
      </c>
      <c r="P687" s="310">
        <f t="shared" ca="1" si="308"/>
        <v>23</v>
      </c>
      <c r="Q687" s="304">
        <f t="shared" ca="1" si="309"/>
        <v>0</v>
      </c>
      <c r="R687" s="306">
        <f t="shared" ca="1" si="310"/>
        <v>0</v>
      </c>
      <c r="S687" s="307">
        <f t="shared" ca="1" si="311"/>
        <v>10.637999999999975</v>
      </c>
      <c r="T687" s="304">
        <f t="shared" ca="1" si="291"/>
        <v>104.35877999999975</v>
      </c>
      <c r="U687" s="311">
        <f t="shared" ca="1" si="292"/>
        <v>0</v>
      </c>
      <c r="V687" s="306">
        <f t="shared" ca="1" si="293"/>
        <v>1.008531145199</v>
      </c>
      <c r="W687" s="304">
        <f t="shared" ca="1" si="294"/>
        <v>6.1757159729815481</v>
      </c>
      <c r="Y687" s="314" t="str">
        <f t="shared" ca="1" si="312"/>
        <v/>
      </c>
      <c r="Z687" s="315" t="str">
        <f t="shared" ca="1" si="313"/>
        <v/>
      </c>
      <c r="AA687" s="316" t="str">
        <f t="shared" ca="1" si="314"/>
        <v/>
      </c>
      <c r="AC687" s="310" t="e">
        <f t="shared" ca="1" si="315"/>
        <v>#N/A</v>
      </c>
      <c r="AD687" s="323" t="e">
        <f t="shared" ca="1" si="316"/>
        <v>#N/A</v>
      </c>
      <c r="AE687" s="324" t="e">
        <f t="shared" ca="1" si="295"/>
        <v>#N/A</v>
      </c>
      <c r="AG687" s="306">
        <f t="shared" ca="1" si="317"/>
        <v>8.4136465363300488</v>
      </c>
      <c r="AH687" s="304">
        <f t="shared" ca="1" si="318"/>
        <v>-0.55510669460246398</v>
      </c>
    </row>
    <row r="688" spans="1:34" x14ac:dyDescent="0.25">
      <c r="A688" s="347">
        <f t="shared" ca="1" si="296"/>
        <v>0.1</v>
      </c>
      <c r="B688" s="304">
        <f t="shared" ca="1" si="297"/>
        <v>23.400000000000002</v>
      </c>
      <c r="D688" s="306">
        <f t="shared" ca="1" si="298"/>
        <v>-0.22970030661036789</v>
      </c>
      <c r="E688" s="307">
        <f t="shared" ca="1" si="299"/>
        <v>-9.2768424442537132</v>
      </c>
      <c r="F688" s="304">
        <f t="shared" ca="1" si="300"/>
        <v>9.2796857687296779</v>
      </c>
      <c r="G688" s="306">
        <f t="shared" ca="1" si="301"/>
        <v>15.164631835664935</v>
      </c>
      <c r="H688" s="307">
        <f t="shared" ca="1" si="302"/>
        <v>-36.179638445920673</v>
      </c>
      <c r="I688" s="304">
        <f t="shared" ca="1" si="303"/>
        <v>39.229227583382311</v>
      </c>
      <c r="J688" s="306">
        <f t="shared" ca="1" si="304"/>
        <v>422.49893508563764</v>
      </c>
      <c r="K688" s="307">
        <f t="shared" ca="1" si="305"/>
        <v>1934.7837933500227</v>
      </c>
      <c r="L688" s="304">
        <f t="shared" ca="1" si="290"/>
        <v>1980.3771552808828</v>
      </c>
      <c r="M688" s="306">
        <f t="shared" ca="1" si="306"/>
        <v>-1.1738925934881401</v>
      </c>
      <c r="N688" s="304">
        <f t="shared" ca="1" si="307"/>
        <v>-67.259091208536859</v>
      </c>
      <c r="P688" s="310">
        <f t="shared" ca="1" si="308"/>
        <v>23</v>
      </c>
      <c r="Q688" s="304">
        <f t="shared" ca="1" si="309"/>
        <v>0</v>
      </c>
      <c r="R688" s="306">
        <f t="shared" ca="1" si="310"/>
        <v>0</v>
      </c>
      <c r="S688" s="307">
        <f t="shared" ca="1" si="311"/>
        <v>10.637999999999975</v>
      </c>
      <c r="T688" s="304">
        <f t="shared" ca="1" si="291"/>
        <v>104.35877999999975</v>
      </c>
      <c r="U688" s="311">
        <f t="shared" ca="1" si="292"/>
        <v>0</v>
      </c>
      <c r="V688" s="306">
        <f t="shared" ca="1" si="293"/>
        <v>1.0088948248423286</v>
      </c>
      <c r="W688" s="304">
        <f t="shared" ca="1" si="294"/>
        <v>6.4528785863153564</v>
      </c>
      <c r="Y688" s="314" t="str">
        <f t="shared" ca="1" si="312"/>
        <v/>
      </c>
      <c r="Z688" s="315" t="str">
        <f t="shared" ca="1" si="313"/>
        <v/>
      </c>
      <c r="AA688" s="316" t="str">
        <f t="shared" ca="1" si="314"/>
        <v/>
      </c>
      <c r="AC688" s="310" t="e">
        <f t="shared" ca="1" si="315"/>
        <v>#N/A</v>
      </c>
      <c r="AD688" s="323" t="e">
        <f t="shared" ca="1" si="316"/>
        <v>#N/A</v>
      </c>
      <c r="AE688" s="324" t="e">
        <f t="shared" ca="1" si="295"/>
        <v>#N/A</v>
      </c>
      <c r="AG688" s="306">
        <f t="shared" ca="1" si="317"/>
        <v>8.428895035990946</v>
      </c>
      <c r="AH688" s="304">
        <f t="shared" ca="1" si="318"/>
        <v>-0.58053355639984605</v>
      </c>
    </row>
    <row r="689" spans="1:34" x14ac:dyDescent="0.25">
      <c r="A689" s="347">
        <f t="shared" ca="1" si="296"/>
        <v>0.1</v>
      </c>
      <c r="B689" s="304">
        <f t="shared" ca="1" si="297"/>
        <v>23.500000000000004</v>
      </c>
      <c r="D689" s="306">
        <f t="shared" ca="1" si="298"/>
        <v>-0.23448530000574688</v>
      </c>
      <c r="E689" s="307">
        <f t="shared" ca="1" si="299"/>
        <v>-9.2505671389173454</v>
      </c>
      <c r="F689" s="304">
        <f t="shared" ca="1" si="300"/>
        <v>9.2535385527665159</v>
      </c>
      <c r="G689" s="306">
        <f t="shared" ca="1" si="301"/>
        <v>15.141183305664359</v>
      </c>
      <c r="H689" s="307">
        <f t="shared" ca="1" si="302"/>
        <v>-37.104695159812408</v>
      </c>
      <c r="I689" s="304">
        <f t="shared" ca="1" si="303"/>
        <v>40.075102430291246</v>
      </c>
      <c r="J689" s="306">
        <f t="shared" ca="1" si="304"/>
        <v>424.01422584270409</v>
      </c>
      <c r="K689" s="307">
        <f t="shared" ca="1" si="305"/>
        <v>1931.119576669736</v>
      </c>
      <c r="L689" s="304">
        <f t="shared" ca="1" si="290"/>
        <v>1977.1218685539059</v>
      </c>
      <c r="M689" s="306">
        <f t="shared" ca="1" si="306"/>
        <v>-1.1833554654069873</v>
      </c>
      <c r="N689" s="304">
        <f t="shared" ca="1" si="307"/>
        <v>-67.801273831559655</v>
      </c>
      <c r="P689" s="310">
        <f t="shared" ca="1" si="308"/>
        <v>23</v>
      </c>
      <c r="Q689" s="304">
        <f t="shared" ca="1" si="309"/>
        <v>0</v>
      </c>
      <c r="R689" s="306">
        <f t="shared" ca="1" si="310"/>
        <v>0</v>
      </c>
      <c r="S689" s="307">
        <f t="shared" ca="1" si="311"/>
        <v>10.637999999999975</v>
      </c>
      <c r="T689" s="304">
        <f t="shared" ca="1" si="291"/>
        <v>104.35877999999975</v>
      </c>
      <c r="U689" s="311">
        <f t="shared" ca="1" si="292"/>
        <v>0</v>
      </c>
      <c r="V689" s="306">
        <f t="shared" ca="1" si="293"/>
        <v>1.0092680604471314</v>
      </c>
      <c r="W689" s="304">
        <f t="shared" ca="1" si="294"/>
        <v>6.7366486480120793</v>
      </c>
      <c r="Y689" s="314" t="str">
        <f t="shared" ca="1" si="312"/>
        <v/>
      </c>
      <c r="Z689" s="315" t="str">
        <f t="shared" ca="1" si="313"/>
        <v/>
      </c>
      <c r="AA689" s="316" t="str">
        <f t="shared" ca="1" si="314"/>
        <v/>
      </c>
      <c r="AC689" s="310" t="e">
        <f t="shared" ca="1" si="315"/>
        <v>#N/A</v>
      </c>
      <c r="AD689" s="323" t="e">
        <f t="shared" ca="1" si="316"/>
        <v>#N/A</v>
      </c>
      <c r="AE689" s="324" t="e">
        <f t="shared" ca="1" si="295"/>
        <v>#N/A</v>
      </c>
      <c r="AG689" s="306">
        <f t="shared" ca="1" si="317"/>
        <v>8.440805788400187</v>
      </c>
      <c r="AH689" s="304">
        <f t="shared" ca="1" si="318"/>
        <v>-0.6065875715656488</v>
      </c>
    </row>
    <row r="690" spans="1:34" x14ac:dyDescent="0.25">
      <c r="A690" s="347">
        <f t="shared" ca="1" si="296"/>
        <v>0.1</v>
      </c>
      <c r="B690" s="304">
        <f t="shared" ca="1" si="297"/>
        <v>23.600000000000005</v>
      </c>
      <c r="D690" s="306">
        <f t="shared" ca="1" si="298"/>
        <v>-0.23925944300838536</v>
      </c>
      <c r="E690" s="307">
        <f t="shared" ca="1" si="299"/>
        <v>-9.2236753701666441</v>
      </c>
      <c r="F690" s="304">
        <f t="shared" ca="1" si="300"/>
        <v>9.2267780083454625</v>
      </c>
      <c r="G690" s="306">
        <f t="shared" ca="1" si="301"/>
        <v>15.117257361363521</v>
      </c>
      <c r="H690" s="307">
        <f t="shared" ca="1" si="302"/>
        <v>-38.02706269682907</v>
      </c>
      <c r="I690" s="304">
        <f t="shared" ca="1" si="303"/>
        <v>40.921741989781772</v>
      </c>
      <c r="J690" s="306">
        <f t="shared" ca="1" si="304"/>
        <v>425.52714787605549</v>
      </c>
      <c r="K690" s="307">
        <f t="shared" ca="1" si="305"/>
        <v>1927.3629887769039</v>
      </c>
      <c r="L690" s="304">
        <f t="shared" ca="1" si="290"/>
        <v>1973.778468847649</v>
      </c>
      <c r="M690" s="306">
        <f t="shared" ca="1" si="306"/>
        <v>-1.1924129167320561</v>
      </c>
      <c r="N690" s="304">
        <f t="shared" ca="1" si="307"/>
        <v>-68.320227565631271</v>
      </c>
      <c r="P690" s="310">
        <f t="shared" ca="1" si="308"/>
        <v>23</v>
      </c>
      <c r="Q690" s="304">
        <f t="shared" ca="1" si="309"/>
        <v>0</v>
      </c>
      <c r="R690" s="306">
        <f t="shared" ca="1" si="310"/>
        <v>0</v>
      </c>
      <c r="S690" s="307">
        <f t="shared" ca="1" si="311"/>
        <v>10.637999999999975</v>
      </c>
      <c r="T690" s="304">
        <f t="shared" ca="1" si="291"/>
        <v>104.35877999999975</v>
      </c>
      <c r="U690" s="311">
        <f t="shared" ca="1" si="292"/>
        <v>0</v>
      </c>
      <c r="V690" s="306">
        <f t="shared" ca="1" si="293"/>
        <v>1.0096508344427781</v>
      </c>
      <c r="W690" s="304">
        <f t="shared" ca="1" si="294"/>
        <v>7.0269606179963722</v>
      </c>
      <c r="Y690" s="314" t="str">
        <f t="shared" ca="1" si="312"/>
        <v/>
      </c>
      <c r="Z690" s="315" t="str">
        <f t="shared" ca="1" si="313"/>
        <v/>
      </c>
      <c r="AA690" s="316" t="str">
        <f t="shared" ca="1" si="314"/>
        <v/>
      </c>
      <c r="AC690" s="310" t="e">
        <f t="shared" ca="1" si="315"/>
        <v>#N/A</v>
      </c>
      <c r="AD690" s="323" t="e">
        <f t="shared" ca="1" si="316"/>
        <v>#N/A</v>
      </c>
      <c r="AE690" s="324" t="e">
        <f t="shared" ca="1" si="295"/>
        <v>#N/A</v>
      </c>
      <c r="AG690" s="306">
        <f t="shared" ca="1" si="317"/>
        <v>8.4496101380629991</v>
      </c>
      <c r="AH690" s="304">
        <f t="shared" ca="1" si="318"/>
        <v>-0.63326270426885645</v>
      </c>
    </row>
    <row r="691" spans="1:34" x14ac:dyDescent="0.25">
      <c r="A691" s="347">
        <f t="shared" ca="1" si="296"/>
        <v>0.1</v>
      </c>
      <c r="B691" s="304">
        <f t="shared" ca="1" si="297"/>
        <v>23.700000000000006</v>
      </c>
      <c r="D691" s="306">
        <f t="shared" ca="1" si="298"/>
        <v>-0.24402056451206233</v>
      </c>
      <c r="E691" s="307">
        <f t="shared" ca="1" si="299"/>
        <v>-9.1961726975865385</v>
      </c>
      <c r="F691" s="304">
        <f t="shared" ca="1" si="300"/>
        <v>9.1994096723507681</v>
      </c>
      <c r="G691" s="306">
        <f t="shared" ca="1" si="301"/>
        <v>15.092855304912314</v>
      </c>
      <c r="H691" s="307">
        <f t="shared" ca="1" si="302"/>
        <v>-38.946679966587723</v>
      </c>
      <c r="I691" s="304">
        <f t="shared" ca="1" si="303"/>
        <v>41.76886593714061</v>
      </c>
      <c r="J691" s="306">
        <f t="shared" ca="1" si="304"/>
        <v>427.03765350936931</v>
      </c>
      <c r="K691" s="307">
        <f t="shared" ca="1" si="305"/>
        <v>1923.514301643733</v>
      </c>
      <c r="L691" s="304">
        <f t="shared" ca="1" si="290"/>
        <v>1970.3472856688909</v>
      </c>
      <c r="M691" s="306">
        <f t="shared" ca="1" si="306"/>
        <v>-1.2010893387207517</v>
      </c>
      <c r="N691" s="304">
        <f t="shared" ca="1" si="307"/>
        <v>-68.817349926858043</v>
      </c>
      <c r="P691" s="310">
        <f t="shared" ca="1" si="308"/>
        <v>23</v>
      </c>
      <c r="Q691" s="304">
        <f t="shared" ca="1" si="309"/>
        <v>0</v>
      </c>
      <c r="R691" s="306">
        <f t="shared" ca="1" si="310"/>
        <v>0</v>
      </c>
      <c r="S691" s="307">
        <f t="shared" ca="1" si="311"/>
        <v>10.637999999999975</v>
      </c>
      <c r="T691" s="304">
        <f t="shared" ca="1" si="291"/>
        <v>104.35877999999975</v>
      </c>
      <c r="U691" s="311">
        <f t="shared" ca="1" si="292"/>
        <v>0</v>
      </c>
      <c r="V691" s="306">
        <f t="shared" ca="1" si="293"/>
        <v>1.0100431288439093</v>
      </c>
      <c r="W691" s="304">
        <f t="shared" ca="1" si="294"/>
        <v>7.3237476521872571</v>
      </c>
      <c r="Y691" s="314" t="str">
        <f t="shared" ca="1" si="312"/>
        <v/>
      </c>
      <c r="Z691" s="315" t="str">
        <f t="shared" ca="1" si="313"/>
        <v/>
      </c>
      <c r="AA691" s="316" t="str">
        <f t="shared" ca="1" si="314"/>
        <v/>
      </c>
      <c r="AC691" s="310" t="e">
        <f t="shared" ca="1" si="315"/>
        <v>#N/A</v>
      </c>
      <c r="AD691" s="323" t="e">
        <f t="shared" ca="1" si="316"/>
        <v>#N/A</v>
      </c>
      <c r="AE691" s="324" t="e">
        <f t="shared" ca="1" si="295"/>
        <v>#N/A</v>
      </c>
      <c r="AG691" s="306">
        <f t="shared" ca="1" si="317"/>
        <v>8.455517708732863</v>
      </c>
      <c r="AH691" s="304">
        <f t="shared" ca="1" si="318"/>
        <v>-0.6605527935698805</v>
      </c>
    </row>
    <row r="692" spans="1:34" x14ac:dyDescent="0.25">
      <c r="A692" s="347">
        <f t="shared" ca="1" si="296"/>
        <v>0.1</v>
      </c>
      <c r="B692" s="304">
        <f t="shared" ca="1" si="297"/>
        <v>23.800000000000008</v>
      </c>
      <c r="D692" s="306">
        <f t="shared" ca="1" si="298"/>
        <v>-0.24876662282427997</v>
      </c>
      <c r="E692" s="307">
        <f t="shared" ca="1" si="299"/>
        <v>-9.1680648691203785</v>
      </c>
      <c r="F692" s="304">
        <f t="shared" ca="1" si="300"/>
        <v>9.1714392696583165</v>
      </c>
      <c r="G692" s="306">
        <f t="shared" ca="1" si="301"/>
        <v>15.067978642629885</v>
      </c>
      <c r="H692" s="307">
        <f t="shared" ca="1" si="302"/>
        <v>-39.86348645349976</v>
      </c>
      <c r="I692" s="304">
        <f t="shared" ca="1" si="303"/>
        <v>42.61621208651831</v>
      </c>
      <c r="J692" s="306">
        <f t="shared" ca="1" si="304"/>
        <v>428.54569520674642</v>
      </c>
      <c r="K692" s="307">
        <f t="shared" ca="1" si="305"/>
        <v>1919.5737933227285</v>
      </c>
      <c r="L692" s="304">
        <f t="shared" ca="1" si="290"/>
        <v>1966.8286557022811</v>
      </c>
      <c r="M692" s="306">
        <f t="shared" ca="1" si="306"/>
        <v>-1.209407319162781</v>
      </c>
      <c r="N692" s="304">
        <f t="shared" ca="1" si="307"/>
        <v>-69.293935100258679</v>
      </c>
      <c r="P692" s="310">
        <f t="shared" ca="1" si="308"/>
        <v>23</v>
      </c>
      <c r="Q692" s="304">
        <f t="shared" ca="1" si="309"/>
        <v>0</v>
      </c>
      <c r="R692" s="306">
        <f t="shared" ca="1" si="310"/>
        <v>0</v>
      </c>
      <c r="S692" s="307">
        <f t="shared" ca="1" si="311"/>
        <v>10.637999999999975</v>
      </c>
      <c r="T692" s="304">
        <f t="shared" ca="1" si="291"/>
        <v>104.35877999999975</v>
      </c>
      <c r="U692" s="311">
        <f t="shared" ca="1" si="292"/>
        <v>0</v>
      </c>
      <c r="V692" s="306">
        <f t="shared" ca="1" si="293"/>
        <v>1.0104449252533676</v>
      </c>
      <c r="W692" s="304">
        <f t="shared" ca="1" si="294"/>
        <v>7.6269416300987913</v>
      </c>
      <c r="Y692" s="314" t="str">
        <f t="shared" ca="1" si="312"/>
        <v/>
      </c>
      <c r="Z692" s="315" t="str">
        <f t="shared" ca="1" si="313"/>
        <v/>
      </c>
      <c r="AA692" s="316" t="str">
        <f t="shared" ca="1" si="314"/>
        <v/>
      </c>
      <c r="AC692" s="310" t="e">
        <f t="shared" ca="1" si="315"/>
        <v>#N/A</v>
      </c>
      <c r="AD692" s="323" t="e">
        <f t="shared" ca="1" si="316"/>
        <v>#N/A</v>
      </c>
      <c r="AE692" s="324" t="e">
        <f t="shared" ca="1" si="295"/>
        <v>#N/A</v>
      </c>
      <c r="AG692" s="306">
        <f t="shared" ca="1" si="317"/>
        <v>8.4587187561969905</v>
      </c>
      <c r="AH692" s="304">
        <f t="shared" ca="1" si="318"/>
        <v>-0.6884515559491704</v>
      </c>
    </row>
    <row r="693" spans="1:34" x14ac:dyDescent="0.25">
      <c r="A693" s="347">
        <f t="shared" ca="1" si="296"/>
        <v>0.1</v>
      </c>
      <c r="B693" s="304">
        <f t="shared" ca="1" si="297"/>
        <v>23.900000000000009</v>
      </c>
      <c r="D693" s="306">
        <f t="shared" ca="1" si="298"/>
        <v>-0.25349569455750237</v>
      </c>
      <c r="E693" s="307">
        <f t="shared" ca="1" si="299"/>
        <v>-9.1393578106472688</v>
      </c>
      <c r="F693" s="304">
        <f t="shared" ca="1" si="300"/>
        <v>9.1428727027230572</v>
      </c>
      <c r="G693" s="306">
        <f t="shared" ca="1" si="301"/>
        <v>15.042629073174135</v>
      </c>
      <c r="H693" s="307">
        <f t="shared" ca="1" si="302"/>
        <v>-40.77742223456449</v>
      </c>
      <c r="I693" s="304">
        <f t="shared" ca="1" si="303"/>
        <v>43.463534756495108</v>
      </c>
      <c r="J693" s="306">
        <f t="shared" ca="1" si="304"/>
        <v>430.05122559253664</v>
      </c>
      <c r="K693" s="307">
        <f t="shared" ca="1" si="305"/>
        <v>1915.5417478883253</v>
      </c>
      <c r="L693" s="304">
        <f t="shared" ca="1" si="290"/>
        <v>1963.2229227820012</v>
      </c>
      <c r="M693" s="306">
        <f t="shared" ca="1" si="306"/>
        <v>-1.2173877938580087</v>
      </c>
      <c r="N693" s="304">
        <f t="shared" ca="1" si="307"/>
        <v>-69.751182618806183</v>
      </c>
      <c r="P693" s="310">
        <f t="shared" ca="1" si="308"/>
        <v>23</v>
      </c>
      <c r="Q693" s="304">
        <f t="shared" ca="1" si="309"/>
        <v>0</v>
      </c>
      <c r="R693" s="306">
        <f t="shared" ca="1" si="310"/>
        <v>0</v>
      </c>
      <c r="S693" s="307">
        <f t="shared" ca="1" si="311"/>
        <v>10.637999999999975</v>
      </c>
      <c r="T693" s="304">
        <f t="shared" ca="1" si="291"/>
        <v>104.35877999999975</v>
      </c>
      <c r="U693" s="311">
        <f t="shared" ca="1" si="292"/>
        <v>0</v>
      </c>
      <c r="V693" s="306">
        <f t="shared" ca="1" si="293"/>
        <v>1.0108562048652712</v>
      </c>
      <c r="W693" s="304">
        <f t="shared" ca="1" si="294"/>
        <v>7.9364731830948374</v>
      </c>
      <c r="Y693" s="314" t="str">
        <f t="shared" ca="1" si="312"/>
        <v/>
      </c>
      <c r="Z693" s="315" t="str">
        <f t="shared" ca="1" si="313"/>
        <v/>
      </c>
      <c r="AA693" s="316" t="str">
        <f t="shared" ca="1" si="314"/>
        <v/>
      </c>
      <c r="AC693" s="310" t="e">
        <f t="shared" ca="1" si="315"/>
        <v>#N/A</v>
      </c>
      <c r="AD693" s="323" t="e">
        <f t="shared" ca="1" si="316"/>
        <v>#N/A</v>
      </c>
      <c r="AE693" s="324" t="e">
        <f t="shared" ca="1" si="295"/>
        <v>#N/A</v>
      </c>
      <c r="AG693" s="306">
        <f t="shared" ca="1" si="317"/>
        <v>8.4593862503533082</v>
      </c>
      <c r="AH693" s="304">
        <f t="shared" ca="1" si="318"/>
        <v>-0.71695258790174932</v>
      </c>
    </row>
    <row r="694" spans="1:34" x14ac:dyDescent="0.25">
      <c r="A694" s="347">
        <f t="shared" ca="1" si="296"/>
        <v>0.1</v>
      </c>
      <c r="B694" s="304">
        <f t="shared" ca="1" si="297"/>
        <v>24.000000000000011</v>
      </c>
      <c r="D694" s="306">
        <f t="shared" ca="1" si="298"/>
        <v>-0.25820596472188123</v>
      </c>
      <c r="E694" s="307">
        <f t="shared" ca="1" si="299"/>
        <v>-9.1100576165423259</v>
      </c>
      <c r="F694" s="304">
        <f t="shared" ca="1" si="300"/>
        <v>9.1137160421498091</v>
      </c>
      <c r="G694" s="306">
        <f t="shared" ca="1" si="301"/>
        <v>15.016808476701947</v>
      </c>
      <c r="H694" s="307">
        <f t="shared" ca="1" si="302"/>
        <v>-41.688427996218721</v>
      </c>
      <c r="I694" s="304">
        <f t="shared" ca="1" si="303"/>
        <v>44.310603309161344</v>
      </c>
      <c r="J694" s="306">
        <f t="shared" ca="1" si="304"/>
        <v>431.55419747003043</v>
      </c>
      <c r="K694" s="307">
        <f t="shared" ca="1" si="305"/>
        <v>1911.4184553767861</v>
      </c>
      <c r="L694" s="304">
        <f t="shared" ca="1" si="290"/>
        <v>1959.5304378623418</v>
      </c>
      <c r="M694" s="306">
        <f t="shared" ca="1" si="306"/>
        <v>-1.2250501846412971</v>
      </c>
      <c r="N694" s="304">
        <f t="shared" ca="1" si="307"/>
        <v>-70.190205271668546</v>
      </c>
      <c r="P694" s="310">
        <f t="shared" ca="1" si="308"/>
        <v>23</v>
      </c>
      <c r="Q694" s="304">
        <f t="shared" ca="1" si="309"/>
        <v>0</v>
      </c>
      <c r="R694" s="306">
        <f t="shared" ca="1" si="310"/>
        <v>0</v>
      </c>
      <c r="S694" s="307">
        <f t="shared" ca="1" si="311"/>
        <v>10.637999999999975</v>
      </c>
      <c r="T694" s="304">
        <f t="shared" ca="1" si="291"/>
        <v>104.35877999999975</v>
      </c>
      <c r="U694" s="311">
        <f t="shared" ca="1" si="292"/>
        <v>0</v>
      </c>
      <c r="V694" s="306">
        <f t="shared" ca="1" si="293"/>
        <v>1.0112769484682094</v>
      </c>
      <c r="W694" s="304">
        <f t="shared" ca="1" si="294"/>
        <v>8.2522717232539993</v>
      </c>
      <c r="Y694" s="314" t="str">
        <f t="shared" ca="1" si="312"/>
        <v/>
      </c>
      <c r="Z694" s="315" t="str">
        <f t="shared" ca="1" si="313"/>
        <v/>
      </c>
      <c r="AA694" s="316" t="str">
        <f t="shared" ca="1" si="314"/>
        <v/>
      </c>
      <c r="AC694" s="310">
        <f t="shared" ca="1" si="315"/>
        <v>24.000000000000011</v>
      </c>
      <c r="AD694" s="323">
        <f t="shared" ca="1" si="316"/>
        <v>431.55419747003043</v>
      </c>
      <c r="AE694" s="324" t="e">
        <f t="shared" ca="1" si="295"/>
        <v>#N/A</v>
      </c>
      <c r="AG694" s="306">
        <f t="shared" ca="1" si="317"/>
        <v>8.45767771808368</v>
      </c>
      <c r="AH694" s="304">
        <f t="shared" ca="1" si="318"/>
        <v>-0.74604936859323712</v>
      </c>
    </row>
    <row r="695" spans="1:34" x14ac:dyDescent="0.25">
      <c r="A695" s="347">
        <f t="shared" ca="1" si="296"/>
        <v>0.1</v>
      </c>
      <c r="B695" s="304">
        <f t="shared" ca="1" si="297"/>
        <v>24.100000000000012</v>
      </c>
      <c r="D695" s="306">
        <f t="shared" ca="1" si="298"/>
        <v>-0.26289571788064114</v>
      </c>
      <c r="E695" s="307">
        <f t="shared" ca="1" si="299"/>
        <v>-9.0801705410716966</v>
      </c>
      <c r="F695" s="304">
        <f t="shared" ca="1" si="300"/>
        <v>9.0839755180992334</v>
      </c>
      <c r="G695" s="306">
        <f t="shared" ca="1" si="301"/>
        <v>14.990518904913882</v>
      </c>
      <c r="H695" s="307">
        <f t="shared" ca="1" si="302"/>
        <v>-42.59644505032589</v>
      </c>
      <c r="I695" s="304">
        <f t="shared" ca="1" si="303"/>
        <v>45.157200842877913</v>
      </c>
      <c r="J695" s="306">
        <f t="shared" ca="1" si="304"/>
        <v>433.05456383911121</v>
      </c>
      <c r="K695" s="307">
        <f t="shared" ca="1" si="305"/>
        <v>1907.2042117244589</v>
      </c>
      <c r="L695" s="304">
        <f t="shared" ca="1" si="290"/>
        <v>1955.7515589873367</v>
      </c>
      <c r="M695" s="306">
        <f t="shared" ca="1" si="306"/>
        <v>-1.2324125250862339</v>
      </c>
      <c r="N695" s="304">
        <f t="shared" ca="1" si="307"/>
        <v>-70.612036306501892</v>
      </c>
      <c r="P695" s="310">
        <f t="shared" ca="1" si="308"/>
        <v>23</v>
      </c>
      <c r="Q695" s="304">
        <f t="shared" ca="1" si="309"/>
        <v>0</v>
      </c>
      <c r="R695" s="306">
        <f t="shared" ca="1" si="310"/>
        <v>0</v>
      </c>
      <c r="S695" s="307">
        <f t="shared" ca="1" si="311"/>
        <v>10.637999999999975</v>
      </c>
      <c r="T695" s="304">
        <f t="shared" ca="1" si="291"/>
        <v>104.35877999999975</v>
      </c>
      <c r="U695" s="311">
        <f t="shared" ca="1" si="292"/>
        <v>0</v>
      </c>
      <c r="V695" s="306">
        <f t="shared" ca="1" si="293"/>
        <v>1.0117071364485577</v>
      </c>
      <c r="W695" s="304">
        <f t="shared" ca="1" si="294"/>
        <v>8.574265472803674</v>
      </c>
      <c r="Y695" s="314" t="str">
        <f t="shared" ca="1" si="312"/>
        <v/>
      </c>
      <c r="Z695" s="315" t="str">
        <f t="shared" ca="1" si="313"/>
        <v/>
      </c>
      <c r="AA695" s="316" t="str">
        <f t="shared" ca="1" si="314"/>
        <v/>
      </c>
      <c r="AC695" s="310" t="e">
        <f t="shared" ca="1" si="315"/>
        <v>#N/A</v>
      </c>
      <c r="AD695" s="323" t="e">
        <f t="shared" ca="1" si="316"/>
        <v>#N/A</v>
      </c>
      <c r="AE695" s="324" t="e">
        <f t="shared" ca="1" si="295"/>
        <v>#N/A</v>
      </c>
      <c r="AG695" s="306">
        <f t="shared" ca="1" si="317"/>
        <v>8.4537368750438002</v>
      </c>
      <c r="AH695" s="304">
        <f t="shared" ca="1" si="318"/>
        <v>-0.77573526257322978</v>
      </c>
    </row>
    <row r="696" spans="1:34" x14ac:dyDescent="0.25">
      <c r="A696" s="347">
        <f t="shared" ca="1" si="296"/>
        <v>0.1</v>
      </c>
      <c r="B696" s="304">
        <f t="shared" ca="1" si="297"/>
        <v>24.200000000000014</v>
      </c>
      <c r="D696" s="306">
        <f t="shared" ca="1" si="298"/>
        <v>-0.26756333024573015</v>
      </c>
      <c r="E696" s="307">
        <f t="shared" ca="1" si="299"/>
        <v>-9.0497029904976518</v>
      </c>
      <c r="F696" s="304">
        <f t="shared" ca="1" si="300"/>
        <v>9.0536575124042731</v>
      </c>
      <c r="G696" s="306">
        <f t="shared" ca="1" si="301"/>
        <v>14.96376257188931</v>
      </c>
      <c r="H696" s="307">
        <f t="shared" ca="1" si="302"/>
        <v>-43.501415349375655</v>
      </c>
      <c r="I696" s="304">
        <f t="shared" ca="1" si="303"/>
        <v>46.003123021233797</v>
      </c>
      <c r="J696" s="306">
        <f t="shared" ca="1" si="304"/>
        <v>434.55227791295135</v>
      </c>
      <c r="K696" s="307">
        <f t="shared" ca="1" si="305"/>
        <v>1902.8993187044739</v>
      </c>
      <c r="L696" s="304">
        <f t="shared" ca="1" si="290"/>
        <v>1951.8866512595669</v>
      </c>
      <c r="M696" s="306">
        <f t="shared" ca="1" si="306"/>
        <v>-1.2394915749579327</v>
      </c>
      <c r="N696" s="304">
        <f t="shared" ca="1" si="307"/>
        <v>-71.017635987112868</v>
      </c>
      <c r="P696" s="310">
        <f t="shared" ca="1" si="308"/>
        <v>23</v>
      </c>
      <c r="Q696" s="304">
        <f t="shared" ca="1" si="309"/>
        <v>0</v>
      </c>
      <c r="R696" s="306">
        <f t="shared" ca="1" si="310"/>
        <v>0</v>
      </c>
      <c r="S696" s="307">
        <f t="shared" ca="1" si="311"/>
        <v>10.637999999999975</v>
      </c>
      <c r="T696" s="304">
        <f t="shared" ca="1" si="291"/>
        <v>104.35877999999975</v>
      </c>
      <c r="U696" s="311">
        <f t="shared" ca="1" si="292"/>
        <v>0</v>
      </c>
      <c r="V696" s="306">
        <f t="shared" ca="1" si="293"/>
        <v>1.0121467487939073</v>
      </c>
      <c r="W696" s="304">
        <f t="shared" ca="1" si="294"/>
        <v>8.9023814940845902</v>
      </c>
      <c r="Y696" s="314" t="str">
        <f t="shared" ca="1" si="312"/>
        <v/>
      </c>
      <c r="Z696" s="315" t="str">
        <f t="shared" ca="1" si="313"/>
        <v/>
      </c>
      <c r="AA696" s="316" t="str">
        <f t="shared" ca="1" si="314"/>
        <v/>
      </c>
      <c r="AC696" s="310" t="e">
        <f t="shared" ca="1" si="315"/>
        <v>#N/A</v>
      </c>
      <c r="AD696" s="323" t="e">
        <f t="shared" ca="1" si="316"/>
        <v>#N/A</v>
      </c>
      <c r="AE696" s="324" t="e">
        <f t="shared" ca="1" si="295"/>
        <v>#N/A</v>
      </c>
      <c r="AG696" s="306">
        <f t="shared" ca="1" si="317"/>
        <v>8.4476950713466987</v>
      </c>
      <c r="AH696" s="304">
        <f t="shared" ca="1" si="318"/>
        <v>-0.80600352254217844</v>
      </c>
    </row>
    <row r="697" spans="1:34" x14ac:dyDescent="0.25">
      <c r="A697" s="347">
        <f t="shared" ca="1" si="296"/>
        <v>0.1</v>
      </c>
      <c r="B697" s="304">
        <f t="shared" ca="1" si="297"/>
        <v>24.300000000000015</v>
      </c>
      <c r="D697" s="306">
        <f t="shared" ca="1" si="298"/>
        <v>-0.27220726260589856</v>
      </c>
      <c r="E697" s="307">
        <f t="shared" ca="1" si="299"/>
        <v>-9.0186615157887609</v>
      </c>
      <c r="F697" s="304">
        <f t="shared" ca="1" si="300"/>
        <v>9.0227685512920388</v>
      </c>
      <c r="G697" s="306">
        <f t="shared" ca="1" si="301"/>
        <v>14.936541845628721</v>
      </c>
      <c r="H697" s="307">
        <f t="shared" ca="1" si="302"/>
        <v>-44.403281500954535</v>
      </c>
      <c r="I697" s="304">
        <f t="shared" ca="1" si="303"/>
        <v>46.84817702279598</v>
      </c>
      <c r="J697" s="306">
        <f t="shared" ca="1" si="304"/>
        <v>436.04729313382728</v>
      </c>
      <c r="K697" s="307">
        <f t="shared" ca="1" si="305"/>
        <v>1898.5040838619575</v>
      </c>
      <c r="L697" s="304">
        <f t="shared" ca="1" si="290"/>
        <v>1947.9360868082576</v>
      </c>
      <c r="M697" s="306">
        <f t="shared" ca="1" si="306"/>
        <v>-1.2463029244156467</v>
      </c>
      <c r="N697" s="304">
        <f t="shared" ca="1" si="307"/>
        <v>-71.407897563828598</v>
      </c>
      <c r="P697" s="310">
        <f t="shared" ca="1" si="308"/>
        <v>23</v>
      </c>
      <c r="Q697" s="304">
        <f t="shared" ca="1" si="309"/>
        <v>0</v>
      </c>
      <c r="R697" s="306">
        <f t="shared" ca="1" si="310"/>
        <v>0</v>
      </c>
      <c r="S697" s="307">
        <f t="shared" ca="1" si="311"/>
        <v>10.637999999999975</v>
      </c>
      <c r="T697" s="304">
        <f t="shared" ca="1" si="291"/>
        <v>104.35877999999975</v>
      </c>
      <c r="U697" s="311">
        <f t="shared" ca="1" si="292"/>
        <v>0</v>
      </c>
      <c r="V697" s="306">
        <f t="shared" ca="1" si="293"/>
        <v>1.0125957650965949</v>
      </c>
      <c r="W697" s="304">
        <f t="shared" ca="1" si="294"/>
        <v>9.2365457200092234</v>
      </c>
      <c r="Y697" s="314" t="str">
        <f t="shared" ca="1" si="312"/>
        <v/>
      </c>
      <c r="Z697" s="315" t="str">
        <f t="shared" ca="1" si="313"/>
        <v/>
      </c>
      <c r="AA697" s="316" t="str">
        <f t="shared" ca="1" si="314"/>
        <v/>
      </c>
      <c r="AC697" s="310" t="e">
        <f t="shared" ca="1" si="315"/>
        <v>#N/A</v>
      </c>
      <c r="AD697" s="323" t="e">
        <f t="shared" ca="1" si="316"/>
        <v>#N/A</v>
      </c>
      <c r="AE697" s="324" t="e">
        <f t="shared" ca="1" si="295"/>
        <v>#N/A</v>
      </c>
      <c r="AG697" s="306">
        <f t="shared" ca="1" si="317"/>
        <v>8.4396725732418609</v>
      </c>
      <c r="AH697" s="304">
        <f t="shared" ca="1" si="318"/>
        <v>-0.83684729216813414</v>
      </c>
    </row>
    <row r="698" spans="1:34" x14ac:dyDescent="0.25">
      <c r="A698" s="347">
        <f t="shared" ca="1" si="296"/>
        <v>0.1</v>
      </c>
      <c r="B698" s="304">
        <f t="shared" ca="1" si="297"/>
        <v>24.400000000000016</v>
      </c>
      <c r="D698" s="306">
        <f t="shared" ca="1" si="298"/>
        <v>-0.27682605399222215</v>
      </c>
      <c r="E698" s="307">
        <f t="shared" ca="1" si="299"/>
        <v>-8.987052805846595</v>
      </c>
      <c r="F698" s="304">
        <f t="shared" ca="1" si="300"/>
        <v>8.991315298622558</v>
      </c>
      <c r="G698" s="306">
        <f t="shared" ca="1" si="301"/>
        <v>14.908859240229498</v>
      </c>
      <c r="H698" s="307">
        <f t="shared" ca="1" si="302"/>
        <v>-45.301986781539192</v>
      </c>
      <c r="I698" s="304">
        <f t="shared" ca="1" si="303"/>
        <v>47.692180598078423</v>
      </c>
      <c r="J698" s="306">
        <f t="shared" ca="1" si="304"/>
        <v>437.53956318812021</v>
      </c>
      <c r="K698" s="307">
        <f t="shared" ca="1" si="305"/>
        <v>1894.0188204478329</v>
      </c>
      <c r="L698" s="304">
        <f t="shared" ca="1" si="290"/>
        <v>1943.9002447567755</v>
      </c>
      <c r="M698" s="306">
        <f t="shared" ca="1" si="306"/>
        <v>-1.2528610888931746</v>
      </c>
      <c r="N698" s="304">
        <f t="shared" ca="1" si="307"/>
        <v>-71.783652709743563</v>
      </c>
      <c r="P698" s="310">
        <f t="shared" ca="1" si="308"/>
        <v>23</v>
      </c>
      <c r="Q698" s="304">
        <f t="shared" ca="1" si="309"/>
        <v>0</v>
      </c>
      <c r="R698" s="306">
        <f t="shared" ca="1" si="310"/>
        <v>0</v>
      </c>
      <c r="S698" s="307">
        <f t="shared" ca="1" si="311"/>
        <v>10.637999999999975</v>
      </c>
      <c r="T698" s="304">
        <f t="shared" ca="1" si="291"/>
        <v>104.35877999999975</v>
      </c>
      <c r="U698" s="311">
        <f t="shared" ca="1" si="292"/>
        <v>0</v>
      </c>
      <c r="V698" s="306">
        <f t="shared" ca="1" si="293"/>
        <v>1.0130541645573377</v>
      </c>
      <c r="W698" s="304">
        <f t="shared" ca="1" si="294"/>
        <v>9.5766829849793442</v>
      </c>
      <c r="Y698" s="314" t="str">
        <f t="shared" ca="1" si="312"/>
        <v/>
      </c>
      <c r="Z698" s="315" t="str">
        <f t="shared" ca="1" si="313"/>
        <v/>
      </c>
      <c r="AA698" s="316" t="str">
        <f t="shared" ca="1" si="314"/>
        <v/>
      </c>
      <c r="AC698" s="310" t="e">
        <f t="shared" ca="1" si="315"/>
        <v>#N/A</v>
      </c>
      <c r="AD698" s="323" t="e">
        <f t="shared" ca="1" si="316"/>
        <v>#N/A</v>
      </c>
      <c r="AE698" s="324" t="e">
        <f t="shared" ca="1" si="295"/>
        <v>#N/A</v>
      </c>
      <c r="AG698" s="306">
        <f t="shared" ca="1" si="317"/>
        <v>8.4297797002937696</v>
      </c>
      <c r="AH698" s="304">
        <f t="shared" ca="1" si="318"/>
        <v>-0.8682596089499196</v>
      </c>
    </row>
    <row r="699" spans="1:34" x14ac:dyDescent="0.25">
      <c r="A699" s="347">
        <f t="shared" ca="1" si="296"/>
        <v>0.1</v>
      </c>
      <c r="B699" s="304">
        <f t="shared" ca="1" si="297"/>
        <v>24.500000000000018</v>
      </c>
      <c r="D699" s="306">
        <f t="shared" ca="1" si="298"/>
        <v>-0.28141831599741629</v>
      </c>
      <c r="E699" s="307">
        <f t="shared" ca="1" si="299"/>
        <v>-8.9548836811741399</v>
      </c>
      <c r="F699" s="304">
        <f t="shared" ca="1" si="300"/>
        <v>8.9593045495695556</v>
      </c>
      <c r="G699" s="306">
        <f t="shared" ca="1" si="301"/>
        <v>14.880717408629756</v>
      </c>
      <c r="H699" s="307">
        <f t="shared" ca="1" si="302"/>
        <v>-46.197475149656604</v>
      </c>
      <c r="I699" s="304">
        <f t="shared" ca="1" si="303"/>
        <v>48.534961221769166</v>
      </c>
      <c r="J699" s="306">
        <f t="shared" ca="1" si="304"/>
        <v>439.02904202056317</v>
      </c>
      <c r="K699" s="307">
        <f t="shared" ca="1" si="305"/>
        <v>1889.4438473512732</v>
      </c>
      <c r="L699" s="304">
        <f t="shared" ca="1" si="290"/>
        <v>1939.7795111896287</v>
      </c>
      <c r="M699" s="306">
        <f t="shared" ca="1" si="306"/>
        <v>-1.2591795955120233</v>
      </c>
      <c r="N699" s="304">
        <f t="shared" ca="1" si="307"/>
        <v>-72.145676471829077</v>
      </c>
      <c r="P699" s="310">
        <f t="shared" ca="1" si="308"/>
        <v>23</v>
      </c>
      <c r="Q699" s="304">
        <f t="shared" ca="1" si="309"/>
        <v>0</v>
      </c>
      <c r="R699" s="306">
        <f t="shared" ca="1" si="310"/>
        <v>0</v>
      </c>
      <c r="S699" s="307">
        <f t="shared" ca="1" si="311"/>
        <v>10.637999999999975</v>
      </c>
      <c r="T699" s="304">
        <f t="shared" ca="1" si="291"/>
        <v>104.35877999999975</v>
      </c>
      <c r="U699" s="311">
        <f t="shared" ca="1" si="292"/>
        <v>0</v>
      </c>
      <c r="V699" s="306">
        <f t="shared" ca="1" si="293"/>
        <v>1.0135219259889616</v>
      </c>
      <c r="W699" s="304">
        <f t="shared" ca="1" si="294"/>
        <v>9.9227170562294358</v>
      </c>
      <c r="Y699" s="314" t="str">
        <f t="shared" ca="1" si="312"/>
        <v/>
      </c>
      <c r="Z699" s="315" t="str">
        <f t="shared" ca="1" si="313"/>
        <v/>
      </c>
      <c r="AA699" s="316" t="str">
        <f t="shared" ca="1" si="314"/>
        <v/>
      </c>
      <c r="AC699" s="310" t="e">
        <f t="shared" ca="1" si="315"/>
        <v>#N/A</v>
      </c>
      <c r="AD699" s="323" t="e">
        <f t="shared" ca="1" si="316"/>
        <v>#N/A</v>
      </c>
      <c r="AE699" s="324" t="e">
        <f t="shared" ca="1" si="295"/>
        <v>#N/A</v>
      </c>
      <c r="AG699" s="306">
        <f t="shared" ca="1" si="317"/>
        <v>8.4181178352352379</v>
      </c>
      <c r="AH699" s="304">
        <f t="shared" ca="1" si="318"/>
        <v>-0.90023340712345989</v>
      </c>
    </row>
    <row r="700" spans="1:34" x14ac:dyDescent="0.25">
      <c r="A700" s="347">
        <f t="shared" ca="1" si="296"/>
        <v>0.1</v>
      </c>
      <c r="B700" s="304">
        <f t="shared" ca="1" si="297"/>
        <v>24.600000000000019</v>
      </c>
      <c r="D700" s="306">
        <f t="shared" ca="1" si="298"/>
        <v>-0.28598272767524124</v>
      </c>
      <c r="E700" s="307">
        <f t="shared" ca="1" si="299"/>
        <v>-8.9221610879226745</v>
      </c>
      <c r="F700" s="304">
        <f t="shared" ca="1" si="300"/>
        <v>8.9267432246799903</v>
      </c>
      <c r="G700" s="306">
        <f t="shared" ca="1" si="301"/>
        <v>14.852119135862232</v>
      </c>
      <c r="H700" s="307">
        <f t="shared" ca="1" si="302"/>
        <v>-47.089691258448873</v>
      </c>
      <c r="I700" s="304">
        <f t="shared" ca="1" si="303"/>
        <v>49.37635532967051</v>
      </c>
      <c r="J700" s="306">
        <f t="shared" ca="1" si="304"/>
        <v>440.51568384778778</v>
      </c>
      <c r="K700" s="307">
        <f t="shared" ca="1" si="305"/>
        <v>1884.779489030868</v>
      </c>
      <c r="L700" s="304">
        <f t="shared" ca="1" si="290"/>
        <v>1935.5742791190794</v>
      </c>
      <c r="M700" s="306">
        <f t="shared" ca="1" si="306"/>
        <v>-1.2652710618110588</v>
      </c>
      <c r="N700" s="304">
        <f t="shared" ca="1" si="307"/>
        <v>-72.494691781809976</v>
      </c>
      <c r="P700" s="310">
        <f t="shared" ca="1" si="308"/>
        <v>23</v>
      </c>
      <c r="Q700" s="304">
        <f t="shared" ca="1" si="309"/>
        <v>0</v>
      </c>
      <c r="R700" s="306">
        <f t="shared" ca="1" si="310"/>
        <v>0</v>
      </c>
      <c r="S700" s="307">
        <f t="shared" ca="1" si="311"/>
        <v>10.637999999999975</v>
      </c>
      <c r="T700" s="304">
        <f t="shared" ca="1" si="291"/>
        <v>104.35877999999975</v>
      </c>
      <c r="U700" s="311">
        <f t="shared" ca="1" si="292"/>
        <v>0</v>
      </c>
      <c r="V700" s="306">
        <f t="shared" ca="1" si="293"/>
        <v>1.0139990278202198</v>
      </c>
      <c r="W700" s="304">
        <f t="shared" ca="1" si="294"/>
        <v>10.274570665563923</v>
      </c>
      <c r="Y700" s="314" t="str">
        <f t="shared" ca="1" si="312"/>
        <v/>
      </c>
      <c r="Z700" s="315" t="str">
        <f t="shared" ca="1" si="313"/>
        <v/>
      </c>
      <c r="AA700" s="316" t="str">
        <f t="shared" ca="1" si="314"/>
        <v/>
      </c>
      <c r="AC700" s="310" t="e">
        <f t="shared" ca="1" si="315"/>
        <v>#N/A</v>
      </c>
      <c r="AD700" s="323" t="e">
        <f t="shared" ca="1" si="316"/>
        <v>#N/A</v>
      </c>
      <c r="AE700" s="324" t="e">
        <f t="shared" ca="1" si="295"/>
        <v>#N/A</v>
      </c>
      <c r="AG700" s="306">
        <f t="shared" ca="1" si="317"/>
        <v>8.4047803215981851</v>
      </c>
      <c r="AH700" s="304">
        <f t="shared" ca="1" si="318"/>
        <v>-0.93276152060814621</v>
      </c>
    </row>
    <row r="701" spans="1:34" x14ac:dyDescent="0.25">
      <c r="A701" s="347">
        <f t="shared" ca="1" si="296"/>
        <v>0.1</v>
      </c>
      <c r="B701" s="304">
        <f t="shared" ca="1" si="297"/>
        <v>24.700000000000021</v>
      </c>
      <c r="D701" s="306">
        <f t="shared" ca="1" si="298"/>
        <v>-0.29051803095505646</v>
      </c>
      <c r="E701" s="307">
        <f t="shared" ca="1" si="299"/>
        <v>-8.8888920922635801</v>
      </c>
      <c r="F701" s="304">
        <f t="shared" ca="1" si="300"/>
        <v>8.8936383642588037</v>
      </c>
      <c r="G701" s="306">
        <f t="shared" ca="1" si="301"/>
        <v>14.823067332766726</v>
      </c>
      <c r="H701" s="307">
        <f t="shared" ca="1" si="302"/>
        <v>-47.978580467675229</v>
      </c>
      <c r="I701" s="304">
        <f t="shared" ca="1" si="303"/>
        <v>50.216207631051979</v>
      </c>
      <c r="J701" s="306">
        <f t="shared" ca="1" si="304"/>
        <v>441.99944317121924</v>
      </c>
      <c r="K701" s="307">
        <f t="shared" ca="1" si="305"/>
        <v>1880.0260754445619</v>
      </c>
      <c r="L701" s="304">
        <f t="shared" ca="1" si="290"/>
        <v>1931.2849484514577</v>
      </c>
      <c r="M701" s="306">
        <f t="shared" ca="1" si="306"/>
        <v>-1.2711472675082711</v>
      </c>
      <c r="N701" s="304">
        <f t="shared" ca="1" si="307"/>
        <v>-72.831373567810971</v>
      </c>
      <c r="P701" s="310">
        <f t="shared" ca="1" si="308"/>
        <v>23</v>
      </c>
      <c r="Q701" s="304">
        <f t="shared" ca="1" si="309"/>
        <v>0</v>
      </c>
      <c r="R701" s="306">
        <f t="shared" ca="1" si="310"/>
        <v>0</v>
      </c>
      <c r="S701" s="307">
        <f t="shared" ca="1" si="311"/>
        <v>10.637999999999975</v>
      </c>
      <c r="T701" s="304">
        <f t="shared" ca="1" si="291"/>
        <v>104.35877999999975</v>
      </c>
      <c r="U701" s="311">
        <f t="shared" ca="1" si="292"/>
        <v>0</v>
      </c>
      <c r="V701" s="306">
        <f t="shared" ca="1" si="293"/>
        <v>1.0144854480996961</v>
      </c>
      <c r="W701" s="304">
        <f t="shared" ca="1" si="294"/>
        <v>10.632165541457578</v>
      </c>
      <c r="Y701" s="314" t="str">
        <f t="shared" ca="1" si="312"/>
        <v/>
      </c>
      <c r="Z701" s="315" t="str">
        <f t="shared" ca="1" si="313"/>
        <v/>
      </c>
      <c r="AA701" s="316" t="str">
        <f t="shared" ca="1" si="314"/>
        <v/>
      </c>
      <c r="AC701" s="310" t="e">
        <f t="shared" ca="1" si="315"/>
        <v>#N/A</v>
      </c>
      <c r="AD701" s="323" t="e">
        <f t="shared" ca="1" si="316"/>
        <v>#N/A</v>
      </c>
      <c r="AE701" s="324" t="e">
        <f t="shared" ca="1" si="295"/>
        <v>#N/A</v>
      </c>
      <c r="AG701" s="306">
        <f t="shared" ca="1" si="317"/>
        <v>8.3898532623886837</v>
      </c>
      <c r="AH701" s="304">
        <f t="shared" ca="1" si="318"/>
        <v>-0.96583668599021877</v>
      </c>
    </row>
    <row r="702" spans="1:34" x14ac:dyDescent="0.25">
      <c r="A702" s="347">
        <f t="shared" ca="1" si="296"/>
        <v>0.1</v>
      </c>
      <c r="B702" s="304">
        <f t="shared" ca="1" si="297"/>
        <v>24.800000000000022</v>
      </c>
      <c r="D702" s="306">
        <f t="shared" ca="1" si="298"/>
        <v>-0.2950230265142611</v>
      </c>
      <c r="E702" s="307">
        <f t="shared" ca="1" si="299"/>
        <v>-8.8550838750396768</v>
      </c>
      <c r="F702" s="304">
        <f t="shared" ca="1" si="300"/>
        <v>8.8599971230334678</v>
      </c>
      <c r="G702" s="306">
        <f t="shared" ca="1" si="301"/>
        <v>14.7935650301153</v>
      </c>
      <c r="H702" s="307">
        <f t="shared" ca="1" si="302"/>
        <v>-48.864088855179197</v>
      </c>
      <c r="I702" s="304">
        <f t="shared" ca="1" si="303"/>
        <v>51.054370488206963</v>
      </c>
      <c r="J702" s="306">
        <f t="shared" ca="1" si="304"/>
        <v>443.48027478936336</v>
      </c>
      <c r="K702" s="307">
        <f t="shared" ca="1" si="305"/>
        <v>1875.1839419784192</v>
      </c>
      <c r="L702" s="304">
        <f t="shared" ca="1" si="290"/>
        <v>1926.9119259532783</v>
      </c>
      <c r="M702" s="306">
        <f t="shared" ca="1" si="306"/>
        <v>-1.2768192199460835</v>
      </c>
      <c r="N702" s="304">
        <f t="shared" ca="1" si="307"/>
        <v>-73.15635250409656</v>
      </c>
      <c r="P702" s="310">
        <f t="shared" ca="1" si="308"/>
        <v>23</v>
      </c>
      <c r="Q702" s="304">
        <f t="shared" ca="1" si="309"/>
        <v>0</v>
      </c>
      <c r="R702" s="306">
        <f t="shared" ca="1" si="310"/>
        <v>0</v>
      </c>
      <c r="S702" s="307">
        <f t="shared" ca="1" si="311"/>
        <v>10.637999999999975</v>
      </c>
      <c r="T702" s="304">
        <f t="shared" ca="1" si="291"/>
        <v>104.35877999999975</v>
      </c>
      <c r="U702" s="311">
        <f t="shared" ca="1" si="292"/>
        <v>0</v>
      </c>
      <c r="V702" s="306">
        <f t="shared" ca="1" si="293"/>
        <v>1.0149811644997935</v>
      </c>
      <c r="W702" s="304">
        <f t="shared" ca="1" si="294"/>
        <v>10.995422441489167</v>
      </c>
      <c r="Y702" s="314" t="str">
        <f t="shared" ca="1" si="312"/>
        <v/>
      </c>
      <c r="Z702" s="315" t="str">
        <f t="shared" ca="1" si="313"/>
        <v/>
      </c>
      <c r="AA702" s="316" t="str">
        <f t="shared" ca="1" si="314"/>
        <v/>
      </c>
      <c r="AC702" s="310" t="e">
        <f t="shared" ca="1" si="315"/>
        <v>#N/A</v>
      </c>
      <c r="AD702" s="323" t="e">
        <f t="shared" ca="1" si="316"/>
        <v>#N/A</v>
      </c>
      <c r="AE702" s="324" t="e">
        <f t="shared" ca="1" si="295"/>
        <v>#N/A</v>
      </c>
      <c r="AG702" s="306">
        <f t="shared" ca="1" si="317"/>
        <v>8.3734162314530476</v>
      </c>
      <c r="AH702" s="304">
        <f t="shared" ca="1" si="318"/>
        <v>-0.99945154554028981</v>
      </c>
    </row>
    <row r="703" spans="1:34" x14ac:dyDescent="0.25">
      <c r="A703" s="347">
        <f t="shared" ca="1" si="296"/>
        <v>0.1</v>
      </c>
      <c r="B703" s="304">
        <f t="shared" ca="1" si="297"/>
        <v>24.900000000000023</v>
      </c>
      <c r="D703" s="306">
        <f t="shared" ca="1" si="298"/>
        <v>-0.29949657005809338</v>
      </c>
      <c r="E703" s="307">
        <f t="shared" ca="1" si="299"/>
        <v>-8.8207437266576161</v>
      </c>
      <c r="F703" s="304">
        <f t="shared" ca="1" si="300"/>
        <v>8.8258267650598174</v>
      </c>
      <c r="G703" s="306">
        <f t="shared" ca="1" si="301"/>
        <v>14.76361537310949</v>
      </c>
      <c r="H703" s="307">
        <f t="shared" ca="1" si="302"/>
        <v>-49.74616322784496</v>
      </c>
      <c r="I703" s="304">
        <f t="shared" ca="1" si="303"/>
        <v>51.890703355962607</v>
      </c>
      <c r="J703" s="306">
        <f t="shared" ca="1" si="304"/>
        <v>444.95813380952461</v>
      </c>
      <c r="K703" s="307">
        <f t="shared" ca="1" si="305"/>
        <v>1870.2534293742679</v>
      </c>
      <c r="L703" s="304">
        <f t="shared" ca="1" si="290"/>
        <v>1922.4556252172542</v>
      </c>
      <c r="M703" s="306">
        <f t="shared" ca="1" si="306"/>
        <v>-1.2822972138117754</v>
      </c>
      <c r="N703" s="304">
        <f t="shared" ca="1" si="307"/>
        <v>-73.470218432799271</v>
      </c>
      <c r="P703" s="310">
        <f t="shared" ca="1" si="308"/>
        <v>23</v>
      </c>
      <c r="Q703" s="304">
        <f t="shared" ca="1" si="309"/>
        <v>0</v>
      </c>
      <c r="R703" s="306">
        <f t="shared" ca="1" si="310"/>
        <v>0</v>
      </c>
      <c r="S703" s="307">
        <f t="shared" ca="1" si="311"/>
        <v>10.637999999999975</v>
      </c>
      <c r="T703" s="304">
        <f t="shared" ca="1" si="291"/>
        <v>104.35877999999975</v>
      </c>
      <c r="U703" s="311">
        <f t="shared" ca="1" si="292"/>
        <v>0</v>
      </c>
      <c r="V703" s="306">
        <f t="shared" ca="1" si="293"/>
        <v>1.015486154320798</v>
      </c>
      <c r="W703" s="304">
        <f t="shared" ca="1" si="294"/>
        <v>11.364261185079478</v>
      </c>
      <c r="Y703" s="314" t="str">
        <f t="shared" ca="1" si="312"/>
        <v/>
      </c>
      <c r="Z703" s="315" t="str">
        <f t="shared" ca="1" si="313"/>
        <v/>
      </c>
      <c r="AA703" s="316" t="str">
        <f t="shared" ca="1" si="314"/>
        <v/>
      </c>
      <c r="AC703" s="310" t="e">
        <f t="shared" ca="1" si="315"/>
        <v>#N/A</v>
      </c>
      <c r="AD703" s="323" t="e">
        <f t="shared" ca="1" si="316"/>
        <v>#N/A</v>
      </c>
      <c r="AE703" s="324" t="e">
        <f t="shared" ca="1" si="295"/>
        <v>#N/A</v>
      </c>
      <c r="AG703" s="306">
        <f t="shared" ca="1" si="317"/>
        <v>8.3555429077565169</v>
      </c>
      <c r="AH703" s="304">
        <f t="shared" ca="1" si="318"/>
        <v>-1.0335986502621914</v>
      </c>
    </row>
    <row r="704" spans="1:34" x14ac:dyDescent="0.25">
      <c r="A704" s="347">
        <f t="shared" ca="1" si="296"/>
        <v>0.1</v>
      </c>
      <c r="B704" s="304">
        <f t="shared" ca="1" si="297"/>
        <v>25.000000000000025</v>
      </c>
      <c r="D704" s="306">
        <f t="shared" ca="1" si="298"/>
        <v>-0.30393756896218421</v>
      </c>
      <c r="E704" s="307">
        <f t="shared" ca="1" si="299"/>
        <v>-8.7858790421886539</v>
      </c>
      <c r="F704" s="304">
        <f t="shared" ca="1" si="300"/>
        <v>8.7911346588365067</v>
      </c>
      <c r="G704" s="306">
        <f t="shared" ca="1" si="301"/>
        <v>14.733221616213271</v>
      </c>
      <c r="H704" s="307">
        <f t="shared" ca="1" si="302"/>
        <v>-50.624751132063828</v>
      </c>
      <c r="I704" s="304">
        <f t="shared" ca="1" si="303"/>
        <v>52.725072274733314</v>
      </c>
      <c r="J704" s="306">
        <f t="shared" ca="1" si="304"/>
        <v>446.43297565899076</v>
      </c>
      <c r="K704" s="307">
        <f t="shared" ca="1" si="305"/>
        <v>1865.2348836562724</v>
      </c>
      <c r="L704" s="304">
        <f t="shared" ca="1" si="290"/>
        <v>1917.9164666282963</v>
      </c>
      <c r="M704" s="306">
        <f t="shared" ca="1" si="306"/>
        <v>-1.2875908856692597</v>
      </c>
      <c r="N704" s="304">
        <f t="shared" ca="1" si="307"/>
        <v>-73.773523488360297</v>
      </c>
      <c r="P704" s="310">
        <f t="shared" ca="1" si="308"/>
        <v>23</v>
      </c>
      <c r="Q704" s="304">
        <f t="shared" ca="1" si="309"/>
        <v>0</v>
      </c>
      <c r="R704" s="306">
        <f t="shared" ca="1" si="310"/>
        <v>0</v>
      </c>
      <c r="S704" s="307">
        <f t="shared" ca="1" si="311"/>
        <v>10.637999999999975</v>
      </c>
      <c r="T704" s="304">
        <f t="shared" ca="1" si="291"/>
        <v>104.35877999999975</v>
      </c>
      <c r="U704" s="311">
        <f t="shared" ca="1" si="292"/>
        <v>0</v>
      </c>
      <c r="V704" s="306">
        <f t="shared" ca="1" si="293"/>
        <v>1.0160003944950209</v>
      </c>
      <c r="W704" s="304">
        <f t="shared" ca="1" si="294"/>
        <v>11.738600686505643</v>
      </c>
      <c r="Y704" s="314" t="str">
        <f t="shared" ca="1" si="312"/>
        <v/>
      </c>
      <c r="Z704" s="315" t="str">
        <f t="shared" ca="1" si="313"/>
        <v/>
      </c>
      <c r="AA704" s="316" t="str">
        <f t="shared" ca="1" si="314"/>
        <v/>
      </c>
      <c r="AC704" s="310">
        <f t="shared" ca="1" si="315"/>
        <v>25.000000000000025</v>
      </c>
      <c r="AD704" s="323">
        <f t="shared" ca="1" si="316"/>
        <v>446.43297565899076</v>
      </c>
      <c r="AE704" s="324" t="e">
        <f t="shared" ca="1" si="295"/>
        <v>#N/A</v>
      </c>
      <c r="AG704" s="306">
        <f t="shared" ca="1" si="317"/>
        <v>8.3363016415447593</v>
      </c>
      <c r="AH704" s="304">
        <f t="shared" ca="1" si="318"/>
        <v>-1.0682704629704367</v>
      </c>
    </row>
    <row r="705" spans="1:34" x14ac:dyDescent="0.25">
      <c r="A705" s="347">
        <f t="shared" ca="1" si="296"/>
        <v>0.1</v>
      </c>
      <c r="B705" s="304">
        <f t="shared" ca="1" si="297"/>
        <v>25.100000000000026</v>
      </c>
      <c r="D705" s="306">
        <f t="shared" ca="1" si="298"/>
        <v>-0.30834497923843912</v>
      </c>
      <c r="E705" s="307">
        <f t="shared" ca="1" si="299"/>
        <v>-8.7504973166500566</v>
      </c>
      <c r="F705" s="304">
        <f t="shared" ca="1" si="300"/>
        <v>8.7559282726003058</v>
      </c>
      <c r="G705" s="306">
        <f t="shared" ca="1" si="301"/>
        <v>14.702387118289428</v>
      </c>
      <c r="H705" s="307">
        <f t="shared" ca="1" si="302"/>
        <v>-51.499800863728836</v>
      </c>
      <c r="I705" s="304">
        <f t="shared" ca="1" si="303"/>
        <v>53.557349411446495</v>
      </c>
      <c r="J705" s="306">
        <f t="shared" ca="1" si="304"/>
        <v>447.90475609571587</v>
      </c>
      <c r="K705" s="307">
        <f t="shared" ca="1" si="305"/>
        <v>1860.1286560564827</v>
      </c>
      <c r="L705" s="304">
        <f t="shared" ca="1" si="290"/>
        <v>1913.2948773295921</v>
      </c>
      <c r="M705" s="306">
        <f t="shared" ca="1" si="306"/>
        <v>-1.2927092637876008</v>
      </c>
      <c r="N705" s="304">
        <f t="shared" ca="1" si="307"/>
        <v>-74.06678495249335</v>
      </c>
      <c r="P705" s="310">
        <f t="shared" ca="1" si="308"/>
        <v>23</v>
      </c>
      <c r="Q705" s="304">
        <f t="shared" ca="1" si="309"/>
        <v>0</v>
      </c>
      <c r="R705" s="306">
        <f t="shared" ca="1" si="310"/>
        <v>0</v>
      </c>
      <c r="S705" s="307">
        <f t="shared" ca="1" si="311"/>
        <v>10.637999999999975</v>
      </c>
      <c r="T705" s="304">
        <f t="shared" ca="1" si="291"/>
        <v>104.35877999999975</v>
      </c>
      <c r="U705" s="311">
        <f t="shared" ca="1" si="292"/>
        <v>0</v>
      </c>
      <c r="V705" s="306">
        <f t="shared" ca="1" si="293"/>
        <v>1.0165238615910088</v>
      </c>
      <c r="W705" s="304">
        <f t="shared" ca="1" si="294"/>
        <v>12.118358988164204</v>
      </c>
      <c r="Y705" s="314" t="str">
        <f t="shared" ca="1" si="312"/>
        <v/>
      </c>
      <c r="Z705" s="315" t="str">
        <f t="shared" ca="1" si="313"/>
        <v/>
      </c>
      <c r="AA705" s="316" t="str">
        <f t="shared" ca="1" si="314"/>
        <v/>
      </c>
      <c r="AC705" s="310" t="e">
        <f t="shared" ca="1" si="315"/>
        <v>#N/A</v>
      </c>
      <c r="AD705" s="323" t="e">
        <f t="shared" ca="1" si="316"/>
        <v>#N/A</v>
      </c>
      <c r="AE705" s="324" t="e">
        <f t="shared" ca="1" si="295"/>
        <v>#N/A</v>
      </c>
      <c r="AG705" s="306">
        <f t="shared" ca="1" si="317"/>
        <v>8.3157559602615549</v>
      </c>
      <c r="AH705" s="304">
        <f t="shared" ca="1" si="318"/>
        <v>-1.1034593613936521</v>
      </c>
    </row>
    <row r="706" spans="1:34" x14ac:dyDescent="0.25">
      <c r="A706" s="347">
        <f t="shared" ca="1" si="296"/>
        <v>0.1</v>
      </c>
      <c r="B706" s="304">
        <f t="shared" ca="1" si="297"/>
        <v>25.200000000000028</v>
      </c>
      <c r="D706" s="306">
        <f t="shared" ca="1" si="298"/>
        <v>-0.31271780278937905</v>
      </c>
      <c r="E706" s="307">
        <f t="shared" ca="1" si="299"/>
        <v>-8.7146061404435677</v>
      </c>
      <c r="F706" s="304">
        <f t="shared" ca="1" si="300"/>
        <v>8.7202151697786761</v>
      </c>
      <c r="G706" s="306">
        <f t="shared" ca="1" si="301"/>
        <v>14.671115338010489</v>
      </c>
      <c r="H706" s="307">
        <f t="shared" ca="1" si="302"/>
        <v>-52.371261477773196</v>
      </c>
      <c r="I706" s="304">
        <f t="shared" ca="1" si="303"/>
        <v>54.387412643317546</v>
      </c>
      <c r="J706" s="306">
        <f t="shared" ca="1" si="304"/>
        <v>449.37343121853087</v>
      </c>
      <c r="K706" s="307">
        <f t="shared" ca="1" si="305"/>
        <v>1854.9351029394077</v>
      </c>
      <c r="L706" s="304">
        <f t="shared" ca="1" si="290"/>
        <v>1908.5912911888565</v>
      </c>
      <c r="M706" s="306">
        <f t="shared" ca="1" si="306"/>
        <v>-1.2976608137051844</v>
      </c>
      <c r="N706" s="304">
        <f t="shared" ca="1" si="307"/>
        <v>-74.350487864819243</v>
      </c>
      <c r="P706" s="310">
        <f t="shared" ca="1" si="308"/>
        <v>23</v>
      </c>
      <c r="Q706" s="304">
        <f t="shared" ca="1" si="309"/>
        <v>0</v>
      </c>
      <c r="R706" s="306">
        <f t="shared" ca="1" si="310"/>
        <v>0</v>
      </c>
      <c r="S706" s="307">
        <f t="shared" ca="1" si="311"/>
        <v>10.637999999999975</v>
      </c>
      <c r="T706" s="304">
        <f t="shared" ca="1" si="291"/>
        <v>104.35877999999975</v>
      </c>
      <c r="U706" s="311">
        <f t="shared" ca="1" si="292"/>
        <v>0</v>
      </c>
      <c r="V706" s="306">
        <f t="shared" ca="1" si="293"/>
        <v>1.0170565318178262</v>
      </c>
      <c r="W706" s="304">
        <f t="shared" ca="1" si="294"/>
        <v>12.503453294056275</v>
      </c>
      <c r="Y706" s="314" t="str">
        <f t="shared" ca="1" si="312"/>
        <v/>
      </c>
      <c r="Z706" s="315" t="str">
        <f t="shared" ca="1" si="313"/>
        <v/>
      </c>
      <c r="AA706" s="316" t="str">
        <f t="shared" ca="1" si="314"/>
        <v/>
      </c>
      <c r="AC706" s="310" t="e">
        <f t="shared" ca="1" si="315"/>
        <v>#N/A</v>
      </c>
      <c r="AD706" s="323" t="e">
        <f t="shared" ca="1" si="316"/>
        <v>#N/A</v>
      </c>
      <c r="AE706" s="324" t="e">
        <f t="shared" ca="1" si="295"/>
        <v>#N/A</v>
      </c>
      <c r="AG706" s="306">
        <f t="shared" ca="1" si="317"/>
        <v>8.2939650211357367</v>
      </c>
      <c r="AH706" s="304">
        <f t="shared" ca="1" si="318"/>
        <v>-1.1391576413013942</v>
      </c>
    </row>
    <row r="707" spans="1:34" x14ac:dyDescent="0.25">
      <c r="A707" s="347">
        <f t="shared" ca="1" si="296"/>
        <v>0.1</v>
      </c>
      <c r="B707" s="304">
        <f t="shared" ca="1" si="297"/>
        <v>25.300000000000029</v>
      </c>
      <c r="D707" s="306">
        <f t="shared" ca="1" si="298"/>
        <v>-0.3170550849200735</v>
      </c>
      <c r="E707" s="307">
        <f t="shared" ca="1" si="299"/>
        <v>-8.6782131949309296</v>
      </c>
      <c r="F707" s="304">
        <f t="shared" ca="1" si="300"/>
        <v>8.6840030045795675</v>
      </c>
      <c r="G707" s="306">
        <f t="shared" ca="1" si="301"/>
        <v>14.639409829518481</v>
      </c>
      <c r="H707" s="307">
        <f t="shared" ca="1" si="302"/>
        <v>-53.239082797266292</v>
      </c>
      <c r="I707" s="304">
        <f t="shared" ca="1" si="303"/>
        <v>55.215145180020833</v>
      </c>
      <c r="J707" s="306">
        <f t="shared" ca="1" si="304"/>
        <v>450.8389574769073</v>
      </c>
      <c r="K707" s="307">
        <f t="shared" ca="1" si="305"/>
        <v>1849.6545857256558</v>
      </c>
      <c r="L707" s="304">
        <f t="shared" ca="1" si="290"/>
        <v>1903.8061487648399</v>
      </c>
      <c r="M707" s="306">
        <f t="shared" ca="1" si="306"/>
        <v>-1.3024534799261318</v>
      </c>
      <c r="N707" s="304">
        <f t="shared" ca="1" si="307"/>
        <v>-74.625087411894441</v>
      </c>
      <c r="P707" s="310">
        <f t="shared" ca="1" si="308"/>
        <v>23</v>
      </c>
      <c r="Q707" s="304">
        <f t="shared" ca="1" si="309"/>
        <v>0</v>
      </c>
      <c r="R707" s="306">
        <f t="shared" ca="1" si="310"/>
        <v>0</v>
      </c>
      <c r="S707" s="307">
        <f t="shared" ca="1" si="311"/>
        <v>10.637999999999975</v>
      </c>
      <c r="T707" s="304">
        <f t="shared" ca="1" si="291"/>
        <v>104.35877999999975</v>
      </c>
      <c r="U707" s="311">
        <f t="shared" ca="1" si="292"/>
        <v>0</v>
      </c>
      <c r="V707" s="306">
        <f t="shared" ca="1" si="293"/>
        <v>1.0175983810294016</v>
      </c>
      <c r="W707" s="304">
        <f t="shared" ca="1" si="294"/>
        <v>12.893800003468455</v>
      </c>
      <c r="Y707" s="314" t="str">
        <f t="shared" ca="1" si="312"/>
        <v/>
      </c>
      <c r="Z707" s="315" t="str">
        <f t="shared" ca="1" si="313"/>
        <v/>
      </c>
      <c r="AA707" s="316" t="str">
        <f t="shared" ca="1" si="314"/>
        <v/>
      </c>
      <c r="AC707" s="310" t="e">
        <f t="shared" ca="1" si="315"/>
        <v>#N/A</v>
      </c>
      <c r="AD707" s="323" t="e">
        <f t="shared" ca="1" si="316"/>
        <v>#N/A</v>
      </c>
      <c r="AE707" s="324" t="e">
        <f t="shared" ca="1" si="295"/>
        <v>#N/A</v>
      </c>
      <c r="AG707" s="306">
        <f t="shared" ca="1" si="317"/>
        <v>8.2709840165101962</v>
      </c>
      <c r="AH707" s="304">
        <f t="shared" ca="1" si="318"/>
        <v>-1.1753575196518429</v>
      </c>
    </row>
    <row r="708" spans="1:34" x14ac:dyDescent="0.25">
      <c r="A708" s="347">
        <f t="shared" ca="1" si="296"/>
        <v>0.1</v>
      </c>
      <c r="B708" s="304">
        <f t="shared" ca="1" si="297"/>
        <v>25.400000000000031</v>
      </c>
      <c r="D708" s="306">
        <f t="shared" ca="1" si="298"/>
        <v>-0.32135591208030378</v>
      </c>
      <c r="E708" s="307">
        <f t="shared" ca="1" si="299"/>
        <v>-8.6413262481294275</v>
      </c>
      <c r="F708" s="304">
        <f t="shared" ca="1" si="300"/>
        <v>8.6472995177014411</v>
      </c>
      <c r="G708" s="306">
        <f t="shared" ca="1" si="301"/>
        <v>14.607274238310451</v>
      </c>
      <c r="H708" s="307">
        <f t="shared" ca="1" si="302"/>
        <v>-54.103215422079238</v>
      </c>
      <c r="I708" s="304">
        <f t="shared" ca="1" si="303"/>
        <v>56.040435220304282</v>
      </c>
      <c r="J708" s="306">
        <f t="shared" ca="1" si="304"/>
        <v>452.30129168029873</v>
      </c>
      <c r="K708" s="307">
        <f t="shared" ca="1" si="305"/>
        <v>1844.2874708146885</v>
      </c>
      <c r="L708" s="304">
        <f t="shared" ref="L708:L771" ca="1" si="319">SQRT(pos_x^2+pos_z^2)</f>
        <v>1898.939897274189</v>
      </c>
      <c r="M708" s="306">
        <f t="shared" ca="1" si="306"/>
        <v>-1.3070947241071351</v>
      </c>
      <c r="N708" s="304">
        <f t="shared" ca="1" si="307"/>
        <v>-74.891011115155578</v>
      </c>
      <c r="P708" s="310">
        <f t="shared" ca="1" si="308"/>
        <v>23</v>
      </c>
      <c r="Q708" s="304">
        <f t="shared" ca="1" si="309"/>
        <v>0</v>
      </c>
      <c r="R708" s="306">
        <f t="shared" ca="1" si="310"/>
        <v>0</v>
      </c>
      <c r="S708" s="307">
        <f t="shared" ca="1" si="311"/>
        <v>10.637999999999975</v>
      </c>
      <c r="T708" s="304">
        <f t="shared" ref="T708:T771" ca="1" si="320">m*g</f>
        <v>104.35877999999975</v>
      </c>
      <c r="U708" s="311">
        <f t="shared" ref="U708:U771" ca="1" si="321">IF(pos_xz&lt;L_rampe,Poids*COS(Beta),0)</f>
        <v>0</v>
      </c>
      <c r="V708" s="306">
        <f t="shared" ref="V708:V771" ca="1" si="322">Rho_moyen*(20000-Alt_rampe-pos_z)/(20000+Alt_rampe+pos_z)</f>
        <v>1.0181493847289373</v>
      </c>
      <c r="W708" s="304">
        <f t="shared" ref="W708:W771" ca="1" si="323">1/2*Rho*Sref*Cx*vit_xz^2</f>
        <v>13.28931474482388</v>
      </c>
      <c r="Y708" s="314" t="str">
        <f t="shared" ca="1" si="312"/>
        <v/>
      </c>
      <c r="Z708" s="315" t="str">
        <f t="shared" ca="1" si="313"/>
        <v/>
      </c>
      <c r="AA708" s="316" t="str">
        <f t="shared" ca="1" si="314"/>
        <v/>
      </c>
      <c r="AC708" s="310" t="e">
        <f t="shared" ca="1" si="315"/>
        <v>#N/A</v>
      </c>
      <c r="AD708" s="323" t="e">
        <f t="shared" ca="1" si="316"/>
        <v>#N/A</v>
      </c>
      <c r="AE708" s="324" t="e">
        <f t="shared" ref="AE708:AE771" ca="1" si="324">IF(t&lt;T_para, pos_z, NA())</f>
        <v>#N/A</v>
      </c>
      <c r="AG708" s="306">
        <f t="shared" ca="1" si="317"/>
        <v>8.2468645372508433</v>
      </c>
      <c r="AH708" s="304">
        <f t="shared" ca="1" si="318"/>
        <v>-1.2120511377578949</v>
      </c>
    </row>
    <row r="709" spans="1:34" x14ac:dyDescent="0.25">
      <c r="A709" s="347">
        <f t="shared" ref="A709:A772" ca="1" si="325">IF(B708+0.01&lt;=T_ini+ROUNDUP(Temps_fin_propu,0), 0.01, IF(K708&gt;0, 0.1, 0.0001))</f>
        <v>0.1</v>
      </c>
      <c r="B709" s="304">
        <f t="shared" ref="B709:B772" ca="1" si="326">B708+pas</f>
        <v>25.500000000000032</v>
      </c>
      <c r="D709" s="306">
        <f t="shared" ref="D709:D772" ca="1" si="327">IF(AND(L708&lt;L_rampe,Poussee&lt;Poids*SIN(M708)),0,(-W708+Poussee)/m*COS(M708)-U708/m*SIN(M708))</f>
        <v>-0.32561940981268939</v>
      </c>
      <c r="E709" s="307">
        <f t="shared" ref="E709:E772" ca="1" si="328">IF(AND(L708&lt;L_rampe,Poussee&lt;Poids*SIN(M708)),0,(-W708+Poussee)/m*SIN(M708)+U708/m*COS(M708)-Poids/m)</f>
        <v>-8.603953150513048</v>
      </c>
      <c r="F709" s="304">
        <f t="shared" ref="F709:F772" ca="1" si="329">SQRT(acc_x^2+acc_z^2)</f>
        <v>8.6101125321490528</v>
      </c>
      <c r="G709" s="306">
        <f t="shared" ref="G709:G772" ca="1" si="330">G708+acc_x*pas</f>
        <v>14.574712297329182</v>
      </c>
      <c r="H709" s="307">
        <f t="shared" ref="H709:H772" ca="1" si="331">H708+acc_z*pas</f>
        <v>-54.963610737130544</v>
      </c>
      <c r="I709" s="304">
        <f t="shared" ref="I709:I772" ca="1" si="332">SQRT(vit_x^2+vit_z^2)</f>
        <v>56.863175639536088</v>
      </c>
      <c r="J709" s="306">
        <f t="shared" ref="J709:J772" ca="1" si="333">J708+0.5*(vit_x+G708)*pas*(K708&gt;=0)</f>
        <v>453.76039100708073</v>
      </c>
      <c r="K709" s="307">
        <f t="shared" ref="K709:K772" ca="1" si="334">K708+0.5*(vit_z+H708)*pas</f>
        <v>1838.834129506728</v>
      </c>
      <c r="L709" s="304">
        <f t="shared" ca="1" si="319"/>
        <v>1893.9929905587467</v>
      </c>
      <c r="M709" s="306">
        <f t="shared" ref="M709:M772" ca="1" si="335">IF(AND(L708&gt;L_rampe,G709&gt;0),ATAN2(G709,H709),$M$4)</f>
        <v>-1.3115915600581087</v>
      </c>
      <c r="N709" s="304">
        <f t="shared" ref="N709:N772" ca="1" si="336">DEGREES(Beta)</f>
        <v>-75.148660836309062</v>
      </c>
      <c r="P709" s="310">
        <f t="shared" ref="P709:P772" ca="1" si="337">MATCH(t-pas/2-T_ini,CdP_t)</f>
        <v>23</v>
      </c>
      <c r="Q709" s="304">
        <f t="shared" ref="Q709:Q772" ca="1" si="338">(INDEX(CdP,2,i_P+1)-INDEX(CdP,2,i_P+0))/(INDEX(CdP,1,i_P+1)-INDEX(CdP,1,i_P+0))*(t-pas/2-T_ini-INDEX(CdP,1,i_P+0))+INDEX(CdP,2,i_P+0)</f>
        <v>0</v>
      </c>
      <c r="R709" s="306">
        <f t="shared" ref="R709:R772" ca="1" si="339">Poussee/(g*ISP)</f>
        <v>0</v>
      </c>
      <c r="S709" s="307">
        <f t="shared" ref="S709:S772" ca="1" si="340">S708-Débit*pas</f>
        <v>10.637999999999975</v>
      </c>
      <c r="T709" s="304">
        <f t="shared" ca="1" si="320"/>
        <v>104.35877999999975</v>
      </c>
      <c r="U709" s="311">
        <f t="shared" ca="1" si="321"/>
        <v>0</v>
      </c>
      <c r="V709" s="306">
        <f t="shared" ca="1" si="322"/>
        <v>1.018709518073379</v>
      </c>
      <c r="W709" s="304">
        <f t="shared" ca="1" si="323"/>
        <v>13.689912409678149</v>
      </c>
      <c r="Y709" s="314" t="str">
        <f t="shared" ref="Y709:Y772" ca="1" si="341">IF(AND(pos_z&lt;=0,K708&gt;0),"Impact balistique","") &amp; IF(AND(H710&lt;0,vit_z&gt;=0),"Apogée","") &amp; IF(AND(Poussee=0,Q708&gt;0),"Fin de propulsion","") &amp; IF(AND(L710&gt;L_rampe,pos_xz&lt;=L_rampe),"Sortie de rampe","")</f>
        <v/>
      </c>
      <c r="Z709" s="315" t="str">
        <f t="shared" ref="Z709:Z772" ca="1" si="342">IF(ABS(t-T_para)&lt;pas/2,"Para","")</f>
        <v/>
      </c>
      <c r="AA709" s="316" t="str">
        <f t="shared" ref="AA709:AA772" ca="1" si="343">IF(ABS(t-T_satellite)&lt;pas/2,"Satellite","")</f>
        <v/>
      </c>
      <c r="AC709" s="310" t="e">
        <f t="shared" ref="AC709:AC772" ca="1" si="344">IF(ABS(t-ROUND(t,0))&lt;0.001,t,NA())</f>
        <v>#N/A</v>
      </c>
      <c r="AD709" s="323" t="e">
        <f t="shared" ref="AD709:AD772" ca="1" si="345">IF(ABS(t-ROUND(t,0))&lt;0.001,pos_x,NA())</f>
        <v>#N/A</v>
      </c>
      <c r="AE709" s="324" t="e">
        <f t="shared" ca="1" si="324"/>
        <v>#N/A</v>
      </c>
      <c r="AG709" s="306">
        <f t="shared" ref="AG709:AG772" ca="1" si="346">IF(AND(L708&lt;L_rampe,Poussee&lt;Poids*SIN(M708)),0,(-W708+Poussee)/m-Poids*SIN(M708)/m)</f>
        <v>8.2216548989308915</v>
      </c>
      <c r="AH709" s="304">
        <f t="shared" ref="AH709:AH772" ca="1" si="347">IF(AND(L708&lt;L_rampe,Poussee&lt;Poids*SIN(M708)), g*SIN(M708), (-W708+Poussee)/m)</f>
        <v>-1.2492305644692527</v>
      </c>
    </row>
    <row r="710" spans="1:34" x14ac:dyDescent="0.25">
      <c r="A710" s="347">
        <f t="shared" ca="1" si="325"/>
        <v>0.1</v>
      </c>
      <c r="B710" s="304">
        <f t="shared" ca="1" si="326"/>
        <v>25.600000000000033</v>
      </c>
      <c r="D710" s="306">
        <f t="shared" ca="1" si="327"/>
        <v>-0.32984474088522109</v>
      </c>
      <c r="E710" s="307">
        <f t="shared" ca="1" si="328"/>
        <v>-8.5661018309070016</v>
      </c>
      <c r="F710" s="304">
        <f t="shared" ca="1" si="329"/>
        <v>8.5724499491427739</v>
      </c>
      <c r="G710" s="306">
        <f t="shared" ca="1" si="330"/>
        <v>14.541727823240659</v>
      </c>
      <c r="H710" s="307">
        <f t="shared" ca="1" si="331"/>
        <v>-55.820220920221246</v>
      </c>
      <c r="I710" s="304">
        <f t="shared" ca="1" si="332"/>
        <v>57.683263705060213</v>
      </c>
      <c r="J710" s="306">
        <f t="shared" ca="1" si="333"/>
        <v>455.21621301310921</v>
      </c>
      <c r="K710" s="307">
        <f t="shared" ca="1" si="334"/>
        <v>1833.2949379238605</v>
      </c>
      <c r="L710" s="304">
        <f t="shared" ca="1" si="319"/>
        <v>1888.9658890533858</v>
      </c>
      <c r="M710" s="306">
        <f t="shared" ca="1" si="335"/>
        <v>-1.3159505858486136</v>
      </c>
      <c r="N710" s="304">
        <f t="shared" ca="1" si="336"/>
        <v>-75.398414616893675</v>
      </c>
      <c r="P710" s="310">
        <f t="shared" ca="1" si="337"/>
        <v>23</v>
      </c>
      <c r="Q710" s="304">
        <f t="shared" ca="1" si="338"/>
        <v>0</v>
      </c>
      <c r="R710" s="306">
        <f t="shared" ca="1" si="339"/>
        <v>0</v>
      </c>
      <c r="S710" s="307">
        <f t="shared" ca="1" si="340"/>
        <v>10.637999999999975</v>
      </c>
      <c r="T710" s="304">
        <f t="shared" ca="1" si="320"/>
        <v>104.35877999999975</v>
      </c>
      <c r="U710" s="311">
        <f t="shared" ca="1" si="321"/>
        <v>0</v>
      </c>
      <c r="V710" s="306">
        <f t="shared" ca="1" si="322"/>
        <v>1.0192787558779455</v>
      </c>
      <c r="W710" s="304">
        <f t="shared" ca="1" si="323"/>
        <v>14.095507186835487</v>
      </c>
      <c r="Y710" s="314" t="str">
        <f t="shared" ca="1" si="341"/>
        <v/>
      </c>
      <c r="Z710" s="315" t="str">
        <f t="shared" ca="1" si="342"/>
        <v/>
      </c>
      <c r="AA710" s="316" t="str">
        <f t="shared" ca="1" si="343"/>
        <v/>
      </c>
      <c r="AC710" s="310" t="e">
        <f t="shared" ca="1" si="344"/>
        <v>#N/A</v>
      </c>
      <c r="AD710" s="323" t="e">
        <f t="shared" ca="1" si="345"/>
        <v>#N/A</v>
      </c>
      <c r="AE710" s="324" t="e">
        <f t="shared" ca="1" si="324"/>
        <v>#N/A</v>
      </c>
      <c r="AG710" s="306">
        <f t="shared" ca="1" si="346"/>
        <v>8.195400434923835</v>
      </c>
      <c r="AH710" s="304">
        <f t="shared" ca="1" si="347"/>
        <v>-1.2868877993681314</v>
      </c>
    </row>
    <row r="711" spans="1:34" x14ac:dyDescent="0.25">
      <c r="A711" s="347">
        <f t="shared" ca="1" si="325"/>
        <v>0.1</v>
      </c>
      <c r="B711" s="304">
        <f t="shared" ca="1" si="326"/>
        <v>25.700000000000035</v>
      </c>
      <c r="D711" s="306">
        <f t="shared" ca="1" si="327"/>
        <v>-0.33403110358904303</v>
      </c>
      <c r="E711" s="307">
        <f t="shared" ca="1" si="328"/>
        <v>-8.5277802924652413</v>
      </c>
      <c r="F711" s="304">
        <f t="shared" ca="1" si="329"/>
        <v>8.5343197441110359</v>
      </c>
      <c r="G711" s="306">
        <f t="shared" ca="1" si="330"/>
        <v>14.508324712881755</v>
      </c>
      <c r="H711" s="307">
        <f t="shared" ca="1" si="331"/>
        <v>-56.672998949467768</v>
      </c>
      <c r="I711" s="304">
        <f t="shared" ca="1" si="332"/>
        <v>58.500600816579571</v>
      </c>
      <c r="J711" s="306">
        <f t="shared" ca="1" si="333"/>
        <v>456.66871563991532</v>
      </c>
      <c r="K711" s="307">
        <f t="shared" ca="1" si="334"/>
        <v>1827.6702769303761</v>
      </c>
      <c r="L711" s="304">
        <f t="shared" ca="1" si="319"/>
        <v>1883.8590597544624</v>
      </c>
      <c r="M711" s="306">
        <f t="shared" ca="1" si="335"/>
        <v>-1.3201780132836365</v>
      </c>
      <c r="N711" s="304">
        <f t="shared" ca="1" si="336"/>
        <v>-75.640628367118296</v>
      </c>
      <c r="P711" s="310">
        <f t="shared" ca="1" si="337"/>
        <v>23</v>
      </c>
      <c r="Q711" s="304">
        <f t="shared" ca="1" si="338"/>
        <v>0</v>
      </c>
      <c r="R711" s="306">
        <f t="shared" ca="1" si="339"/>
        <v>0</v>
      </c>
      <c r="S711" s="307">
        <f t="shared" ca="1" si="340"/>
        <v>10.637999999999975</v>
      </c>
      <c r="T711" s="304">
        <f t="shared" ca="1" si="320"/>
        <v>104.35877999999975</v>
      </c>
      <c r="U711" s="311">
        <f t="shared" ca="1" si="321"/>
        <v>0</v>
      </c>
      <c r="V711" s="306">
        <f t="shared" ca="1" si="322"/>
        <v>1.0198570726207097</v>
      </c>
      <c r="W711" s="304">
        <f t="shared" ca="1" si="323"/>
        <v>14.506012596560701</v>
      </c>
      <c r="Y711" s="314" t="str">
        <f t="shared" ca="1" si="341"/>
        <v/>
      </c>
      <c r="Z711" s="315" t="str">
        <f t="shared" ca="1" si="342"/>
        <v/>
      </c>
      <c r="AA711" s="316" t="str">
        <f t="shared" ca="1" si="343"/>
        <v/>
      </c>
      <c r="AC711" s="310" t="e">
        <f t="shared" ca="1" si="344"/>
        <v>#N/A</v>
      </c>
      <c r="AD711" s="323" t="e">
        <f t="shared" ca="1" si="345"/>
        <v>#N/A</v>
      </c>
      <c r="AE711" s="324" t="e">
        <f t="shared" ca="1" si="324"/>
        <v>#N/A</v>
      </c>
      <c r="AG711" s="306">
        <f t="shared" ca="1" si="346"/>
        <v>8.1681437600469486</v>
      </c>
      <c r="AH711" s="304">
        <f t="shared" ca="1" si="347"/>
        <v>-1.3250147759762663</v>
      </c>
    </row>
    <row r="712" spans="1:34" x14ac:dyDescent="0.25">
      <c r="A712" s="347">
        <f t="shared" ca="1" si="325"/>
        <v>0.1</v>
      </c>
      <c r="B712" s="304">
        <f t="shared" ca="1" si="326"/>
        <v>25.800000000000036</v>
      </c>
      <c r="D712" s="306">
        <f t="shared" ca="1" si="327"/>
        <v>-0.33817773018443259</v>
      </c>
      <c r="E712" s="307">
        <f t="shared" ca="1" si="328"/>
        <v>-8.4889966087222408</v>
      </c>
      <c r="F712" s="304">
        <f t="shared" ca="1" si="329"/>
        <v>8.4957299627571974</v>
      </c>
      <c r="G712" s="306">
        <f t="shared" ca="1" si="330"/>
        <v>14.474506939863312</v>
      </c>
      <c r="H712" s="307">
        <f t="shared" ca="1" si="331"/>
        <v>-57.521898610339996</v>
      </c>
      <c r="I712" s="304">
        <f t="shared" ca="1" si="332"/>
        <v>59.315092269087685</v>
      </c>
      <c r="J712" s="306">
        <f t="shared" ca="1" si="333"/>
        <v>458.11785722255257</v>
      </c>
      <c r="K712" s="307">
        <f t="shared" ca="1" si="334"/>
        <v>1821.9605320523856</v>
      </c>
      <c r="L712" s="304">
        <f t="shared" ca="1" si="319"/>
        <v>1878.6729761889894</v>
      </c>
      <c r="M712" s="306">
        <f t="shared" ca="1" si="335"/>
        <v>-1.3242796949867437</v>
      </c>
      <c r="N712" s="304">
        <f t="shared" ca="1" si="336"/>
        <v>-75.875637417612381</v>
      </c>
      <c r="P712" s="310">
        <f t="shared" ca="1" si="337"/>
        <v>23</v>
      </c>
      <c r="Q712" s="304">
        <f t="shared" ca="1" si="338"/>
        <v>0</v>
      </c>
      <c r="R712" s="306">
        <f t="shared" ca="1" si="339"/>
        <v>0</v>
      </c>
      <c r="S712" s="307">
        <f t="shared" ca="1" si="340"/>
        <v>10.637999999999975</v>
      </c>
      <c r="T712" s="304">
        <f t="shared" ca="1" si="320"/>
        <v>104.35877999999975</v>
      </c>
      <c r="U712" s="311">
        <f t="shared" ca="1" si="321"/>
        <v>0</v>
      </c>
      <c r="V712" s="306">
        <f t="shared" ca="1" si="322"/>
        <v>1.0204444424472381</v>
      </c>
      <c r="W712" s="304">
        <f t="shared" ca="1" si="323"/>
        <v>14.921341524863234</v>
      </c>
      <c r="Y712" s="314" t="str">
        <f t="shared" ca="1" si="341"/>
        <v/>
      </c>
      <c r="Z712" s="315" t="str">
        <f t="shared" ca="1" si="342"/>
        <v/>
      </c>
      <c r="AA712" s="316" t="str">
        <f t="shared" ca="1" si="343"/>
        <v/>
      </c>
      <c r="AC712" s="310" t="e">
        <f t="shared" ca="1" si="344"/>
        <v>#N/A</v>
      </c>
      <c r="AD712" s="323" t="e">
        <f t="shared" ca="1" si="345"/>
        <v>#N/A</v>
      </c>
      <c r="AE712" s="324" t="e">
        <f t="shared" ca="1" si="324"/>
        <v>#N/A</v>
      </c>
      <c r="AG712" s="306">
        <f t="shared" ca="1" si="346"/>
        <v>8.1399250079669851</v>
      </c>
      <c r="AH712" s="304">
        <f t="shared" ca="1" si="347"/>
        <v>-1.3636033649709283</v>
      </c>
    </row>
    <row r="713" spans="1:34" x14ac:dyDescent="0.25">
      <c r="A713" s="347">
        <f t="shared" ca="1" si="325"/>
        <v>0.1</v>
      </c>
      <c r="B713" s="304">
        <f t="shared" ca="1" si="326"/>
        <v>25.900000000000038</v>
      </c>
      <c r="D713" s="306">
        <f t="shared" ca="1" si="327"/>
        <v>-0.34228388547978295</v>
      </c>
      <c r="E713" s="307">
        <f t="shared" ca="1" si="328"/>
        <v>-8.4497589197116234</v>
      </c>
      <c r="F713" s="304">
        <f t="shared" ca="1" si="329"/>
        <v>8.456688717193348</v>
      </c>
      <c r="G713" s="306">
        <f t="shared" ca="1" si="330"/>
        <v>14.440278551315334</v>
      </c>
      <c r="H713" s="307">
        <f t="shared" ca="1" si="331"/>
        <v>-58.366874502311155</v>
      </c>
      <c r="I713" s="304">
        <f t="shared" ca="1" si="332"/>
        <v>60.126647036136298</v>
      </c>
      <c r="J713" s="306">
        <f t="shared" ca="1" si="333"/>
        <v>459.56359649711152</v>
      </c>
      <c r="K713" s="307">
        <f t="shared" ca="1" si="334"/>
        <v>1816.166093396753</v>
      </c>
      <c r="L713" s="304">
        <f t="shared" ca="1" si="319"/>
        <v>1873.4081183846149</v>
      </c>
      <c r="M713" s="306">
        <f t="shared" ca="1" si="335"/>
        <v>-1.3282611493055747</v>
      </c>
      <c r="N713" s="304">
        <f t="shared" ca="1" si="336"/>
        <v>-76.103757946405523</v>
      </c>
      <c r="P713" s="310">
        <f t="shared" ca="1" si="337"/>
        <v>23</v>
      </c>
      <c r="Q713" s="304">
        <f t="shared" ca="1" si="338"/>
        <v>0</v>
      </c>
      <c r="R713" s="306">
        <f t="shared" ca="1" si="339"/>
        <v>0</v>
      </c>
      <c r="S713" s="307">
        <f t="shared" ca="1" si="340"/>
        <v>10.637999999999975</v>
      </c>
      <c r="T713" s="304">
        <f t="shared" ca="1" si="320"/>
        <v>104.35877999999975</v>
      </c>
      <c r="U713" s="311">
        <f t="shared" ca="1" si="321"/>
        <v>0</v>
      </c>
      <c r="V713" s="306">
        <f t="shared" ca="1" si="322"/>
        <v>1.0210408391752739</v>
      </c>
      <c r="W713" s="304">
        <f t="shared" ca="1" si="323"/>
        <v>15.341406257829622</v>
      </c>
      <c r="Y713" s="314" t="str">
        <f t="shared" ca="1" si="341"/>
        <v/>
      </c>
      <c r="Z713" s="315" t="str">
        <f t="shared" ca="1" si="342"/>
        <v/>
      </c>
      <c r="AA713" s="316" t="str">
        <f t="shared" ca="1" si="343"/>
        <v/>
      </c>
      <c r="AC713" s="310" t="e">
        <f t="shared" ca="1" si="344"/>
        <v>#N/A</v>
      </c>
      <c r="AD713" s="323" t="e">
        <f t="shared" ca="1" si="345"/>
        <v>#N/A</v>
      </c>
      <c r="AE713" s="324" t="e">
        <f t="shared" ca="1" si="324"/>
        <v>#N/A</v>
      </c>
      <c r="AG713" s="306">
        <f t="shared" ca="1" si="346"/>
        <v>8.110782045203198</v>
      </c>
      <c r="AH713" s="304">
        <f t="shared" ca="1" si="347"/>
        <v>-1.4026453774077148</v>
      </c>
    </row>
    <row r="714" spans="1:34" x14ac:dyDescent="0.25">
      <c r="A714" s="347">
        <f t="shared" ca="1" si="325"/>
        <v>0.1</v>
      </c>
      <c r="B714" s="304">
        <f t="shared" ca="1" si="326"/>
        <v>26.000000000000039</v>
      </c>
      <c r="D714" s="306">
        <f t="shared" ca="1" si="327"/>
        <v>-0.34634886553004451</v>
      </c>
      <c r="E714" s="307">
        <f t="shared" ca="1" si="328"/>
        <v>-8.4100754281454932</v>
      </c>
      <c r="F714" s="304">
        <f t="shared" ca="1" si="329"/>
        <v>8.4172041821349772</v>
      </c>
      <c r="G714" s="306">
        <f t="shared" ca="1" si="330"/>
        <v>14.40564366476233</v>
      </c>
      <c r="H714" s="307">
        <f t="shared" ca="1" si="331"/>
        <v>-59.207882045125707</v>
      </c>
      <c r="I714" s="304">
        <f t="shared" ca="1" si="332"/>
        <v>60.93517757146217</v>
      </c>
      <c r="J714" s="306">
        <f t="shared" ca="1" si="333"/>
        <v>461.00589260791543</v>
      </c>
      <c r="K714" s="307">
        <f t="shared" ca="1" si="334"/>
        <v>1810.2873555693811</v>
      </c>
      <c r="L714" s="304">
        <f t="shared" ca="1" si="319"/>
        <v>1868.0649728405069</v>
      </c>
      <c r="M714" s="306">
        <f t="shared" ca="1" si="335"/>
        <v>-1.3321275832339192</v>
      </c>
      <c r="N714" s="304">
        <f t="shared" ca="1" si="336"/>
        <v>-76.325288292265853</v>
      </c>
      <c r="P714" s="310">
        <f t="shared" ca="1" si="337"/>
        <v>23</v>
      </c>
      <c r="Q714" s="304">
        <f t="shared" ca="1" si="338"/>
        <v>0</v>
      </c>
      <c r="R714" s="306">
        <f t="shared" ca="1" si="339"/>
        <v>0</v>
      </c>
      <c r="S714" s="307">
        <f t="shared" ca="1" si="340"/>
        <v>10.637999999999975</v>
      </c>
      <c r="T714" s="304">
        <f t="shared" ca="1" si="320"/>
        <v>104.35877999999975</v>
      </c>
      <c r="U714" s="311">
        <f t="shared" ca="1" si="321"/>
        <v>0</v>
      </c>
      <c r="V714" s="306">
        <f t="shared" ca="1" si="322"/>
        <v>1.021646236299476</v>
      </c>
      <c r="W714" s="304">
        <f t="shared" ca="1" si="323"/>
        <v>15.766118515981553</v>
      </c>
      <c r="Y714" s="314" t="str">
        <f t="shared" ca="1" si="341"/>
        <v/>
      </c>
      <c r="Z714" s="315" t="str">
        <f t="shared" ca="1" si="342"/>
        <v/>
      </c>
      <c r="AA714" s="316" t="str">
        <f t="shared" ca="1" si="343"/>
        <v/>
      </c>
      <c r="AC714" s="310">
        <f t="shared" ca="1" si="344"/>
        <v>26.000000000000039</v>
      </c>
      <c r="AD714" s="323">
        <f t="shared" ca="1" si="345"/>
        <v>461.00589260791543</v>
      </c>
      <c r="AE714" s="324" t="e">
        <f t="shared" ca="1" si="324"/>
        <v>#N/A</v>
      </c>
      <c r="AG714" s="306">
        <f t="shared" ca="1" si="346"/>
        <v>8.0807506642328555</v>
      </c>
      <c r="AH714" s="304">
        <f t="shared" ca="1" si="347"/>
        <v>-1.4421325679478905</v>
      </c>
    </row>
    <row r="715" spans="1:34" x14ac:dyDescent="0.25">
      <c r="A715" s="347">
        <f t="shared" ca="1" si="325"/>
        <v>0.1</v>
      </c>
      <c r="B715" s="304">
        <f t="shared" ca="1" si="326"/>
        <v>26.100000000000041</v>
      </c>
      <c r="D715" s="306">
        <f t="shared" ca="1" si="327"/>
        <v>-0.35037199644253042</v>
      </c>
      <c r="E715" s="307">
        <f t="shared" ca="1" si="328"/>
        <v>-8.3699543956492271</v>
      </c>
      <c r="F715" s="304">
        <f t="shared" ca="1" si="329"/>
        <v>8.3772845911511755</v>
      </c>
      <c r="G715" s="306">
        <f t="shared" ca="1" si="330"/>
        <v>14.370606465118078</v>
      </c>
      <c r="H715" s="307">
        <f t="shared" ca="1" si="331"/>
        <v>-60.04487748469063</v>
      </c>
      <c r="I715" s="304">
        <f t="shared" ca="1" si="332"/>
        <v>61.740599627204801</v>
      </c>
      <c r="J715" s="306">
        <f t="shared" ca="1" si="333"/>
        <v>462.44470511440943</v>
      </c>
      <c r="K715" s="307">
        <f t="shared" ca="1" si="334"/>
        <v>1804.3247175928902</v>
      </c>
      <c r="L715" s="304">
        <f t="shared" ca="1" si="319"/>
        <v>1862.6440324992363</v>
      </c>
      <c r="M715" s="306">
        <f t="shared" ca="1" si="335"/>
        <v>-1.3358839135259504</v>
      </c>
      <c r="N715" s="304">
        <f t="shared" ca="1" si="336"/>
        <v>-76.540510164456379</v>
      </c>
      <c r="P715" s="310">
        <f t="shared" ca="1" si="337"/>
        <v>23</v>
      </c>
      <c r="Q715" s="304">
        <f t="shared" ca="1" si="338"/>
        <v>0</v>
      </c>
      <c r="R715" s="306">
        <f t="shared" ca="1" si="339"/>
        <v>0</v>
      </c>
      <c r="S715" s="307">
        <f t="shared" ca="1" si="340"/>
        <v>10.637999999999975</v>
      </c>
      <c r="T715" s="304">
        <f t="shared" ca="1" si="320"/>
        <v>104.35877999999975</v>
      </c>
      <c r="U715" s="311">
        <f t="shared" ca="1" si="321"/>
        <v>0</v>
      </c>
      <c r="V715" s="306">
        <f t="shared" ca="1" si="322"/>
        <v>1.0222606069961977</v>
      </c>
      <c r="W715" s="304">
        <f t="shared" ca="1" si="323"/>
        <v>16.19538948863655</v>
      </c>
      <c r="Y715" s="314" t="str">
        <f t="shared" ca="1" si="341"/>
        <v/>
      </c>
      <c r="Z715" s="315" t="str">
        <f t="shared" ca="1" si="342"/>
        <v/>
      </c>
      <c r="AA715" s="316" t="str">
        <f t="shared" ca="1" si="343"/>
        <v/>
      </c>
      <c r="AC715" s="310" t="e">
        <f t="shared" ca="1" si="344"/>
        <v>#N/A</v>
      </c>
      <c r="AD715" s="323" t="e">
        <f t="shared" ca="1" si="345"/>
        <v>#N/A</v>
      </c>
      <c r="AE715" s="324" t="e">
        <f t="shared" ca="1" si="324"/>
        <v>#N/A</v>
      </c>
      <c r="AG715" s="306">
        <f t="shared" ca="1" si="346"/>
        <v>8.0498647579152056</v>
      </c>
      <c r="AH715" s="304">
        <f t="shared" ca="1" si="347"/>
        <v>-1.4820566380881359</v>
      </c>
    </row>
    <row r="716" spans="1:34" x14ac:dyDescent="0.25">
      <c r="A716" s="347">
        <f t="shared" ca="1" si="325"/>
        <v>0.1</v>
      </c>
      <c r="B716" s="304">
        <f t="shared" ca="1" si="326"/>
        <v>26.200000000000042</v>
      </c>
      <c r="D716" s="306">
        <f t="shared" ca="1" si="327"/>
        <v>-0.35435263327927136</v>
      </c>
      <c r="E716" s="307">
        <f t="shared" ca="1" si="328"/>
        <v>-8.3294041390474796</v>
      </c>
      <c r="F716" s="304">
        <f t="shared" ca="1" si="329"/>
        <v>8.3369382329661796</v>
      </c>
      <c r="G716" s="306">
        <f t="shared" ca="1" si="330"/>
        <v>14.33517120179015</v>
      </c>
      <c r="H716" s="307">
        <f t="shared" ca="1" si="331"/>
        <v>-60.877817898595382</v>
      </c>
      <c r="I716" s="304">
        <f t="shared" ca="1" si="332"/>
        <v>62.542832087131892</v>
      </c>
      <c r="J716" s="306">
        <f t="shared" ca="1" si="333"/>
        <v>463.87999399775487</v>
      </c>
      <c r="K716" s="307">
        <f t="shared" ca="1" si="334"/>
        <v>1798.2785828237259</v>
      </c>
      <c r="L716" s="304">
        <f t="shared" ca="1" si="319"/>
        <v>1857.145796719758</v>
      </c>
      <c r="M716" s="306">
        <f t="shared" ca="1" si="335"/>
        <v>-1.3395347861613971</v>
      </c>
      <c r="N716" s="304">
        <f t="shared" ca="1" si="336"/>
        <v>-76.749689758007293</v>
      </c>
      <c r="P716" s="310">
        <f t="shared" ca="1" si="337"/>
        <v>23</v>
      </c>
      <c r="Q716" s="304">
        <f t="shared" ca="1" si="338"/>
        <v>0</v>
      </c>
      <c r="R716" s="306">
        <f t="shared" ca="1" si="339"/>
        <v>0</v>
      </c>
      <c r="S716" s="307">
        <f t="shared" ca="1" si="340"/>
        <v>10.637999999999975</v>
      </c>
      <c r="T716" s="304">
        <f t="shared" ca="1" si="320"/>
        <v>104.35877999999975</v>
      </c>
      <c r="U716" s="311">
        <f t="shared" ca="1" si="321"/>
        <v>0</v>
      </c>
      <c r="V716" s="306">
        <f t="shared" ca="1" si="322"/>
        <v>1.0228839241283152</v>
      </c>
      <c r="W716" s="304">
        <f t="shared" ca="1" si="323"/>
        <v>16.629129868249258</v>
      </c>
      <c r="Y716" s="314" t="str">
        <f t="shared" ca="1" si="341"/>
        <v/>
      </c>
      <c r="Z716" s="315" t="str">
        <f t="shared" ca="1" si="342"/>
        <v/>
      </c>
      <c r="AA716" s="316" t="str">
        <f t="shared" ca="1" si="343"/>
        <v/>
      </c>
      <c r="AC716" s="310" t="e">
        <f t="shared" ca="1" si="344"/>
        <v>#N/A</v>
      </c>
      <c r="AD716" s="323" t="e">
        <f t="shared" ca="1" si="345"/>
        <v>#N/A</v>
      </c>
      <c r="AE716" s="324" t="e">
        <f t="shared" ca="1" si="324"/>
        <v>#N/A</v>
      </c>
      <c r="AG716" s="306">
        <f t="shared" ca="1" si="346"/>
        <v>8.0181564771961487</v>
      </c>
      <c r="AH716" s="304">
        <f t="shared" ca="1" si="347"/>
        <v>-1.5224092393905422</v>
      </c>
    </row>
    <row r="717" spans="1:34" x14ac:dyDescent="0.25">
      <c r="A717" s="347">
        <f t="shared" ca="1" si="325"/>
        <v>0.1</v>
      </c>
      <c r="B717" s="304">
        <f t="shared" ca="1" si="326"/>
        <v>26.300000000000043</v>
      </c>
      <c r="D717" s="306">
        <f t="shared" ca="1" si="327"/>
        <v>-0.35829015904625666</v>
      </c>
      <c r="E717" s="307">
        <f t="shared" ca="1" si="328"/>
        <v>-8.2884330266977955</v>
      </c>
      <c r="F717" s="304">
        <f t="shared" ca="1" si="329"/>
        <v>8.2961734478085845</v>
      </c>
      <c r="G717" s="306">
        <f t="shared" ca="1" si="330"/>
        <v>14.299342185885525</v>
      </c>
      <c r="H717" s="307">
        <f t="shared" ca="1" si="331"/>
        <v>-61.706661201265163</v>
      </c>
      <c r="I717" s="304">
        <f t="shared" ca="1" si="332"/>
        <v>63.341796813453037</v>
      </c>
      <c r="J717" s="306">
        <f t="shared" ca="1" si="333"/>
        <v>465.31171966713868</v>
      </c>
      <c r="K717" s="307">
        <f t="shared" ca="1" si="334"/>
        <v>1792.1493588687329</v>
      </c>
      <c r="L717" s="304">
        <f t="shared" ca="1" si="319"/>
        <v>1851.570771251588</v>
      </c>
      <c r="M717" s="306">
        <f t="shared" ca="1" si="335"/>
        <v>-1.343084594305332</v>
      </c>
      <c r="N717" s="304">
        <f t="shared" ca="1" si="336"/>
        <v>-76.953078782735929</v>
      </c>
      <c r="P717" s="310">
        <f t="shared" ca="1" si="337"/>
        <v>23</v>
      </c>
      <c r="Q717" s="304">
        <f t="shared" ca="1" si="338"/>
        <v>0</v>
      </c>
      <c r="R717" s="306">
        <f t="shared" ca="1" si="339"/>
        <v>0</v>
      </c>
      <c r="S717" s="307">
        <f t="shared" ca="1" si="340"/>
        <v>10.637999999999975</v>
      </c>
      <c r="T717" s="304">
        <f t="shared" ca="1" si="320"/>
        <v>104.35877999999975</v>
      </c>
      <c r="U717" s="311">
        <f t="shared" ca="1" si="321"/>
        <v>0</v>
      </c>
      <c r="V717" s="306">
        <f t="shared" ca="1" si="322"/>
        <v>1.0235161602500908</v>
      </c>
      <c r="W717" s="304">
        <f t="shared" ca="1" si="323"/>
        <v>17.067249884711128</v>
      </c>
      <c r="Y717" s="314" t="str">
        <f t="shared" ca="1" si="341"/>
        <v/>
      </c>
      <c r="Z717" s="315" t="str">
        <f t="shared" ca="1" si="342"/>
        <v/>
      </c>
      <c r="AA717" s="316" t="str">
        <f t="shared" ca="1" si="343"/>
        <v/>
      </c>
      <c r="AC717" s="310" t="e">
        <f t="shared" ca="1" si="344"/>
        <v>#N/A</v>
      </c>
      <c r="AD717" s="323" t="e">
        <f t="shared" ca="1" si="345"/>
        <v>#N/A</v>
      </c>
      <c r="AE717" s="324" t="e">
        <f t="shared" ca="1" si="324"/>
        <v>#N/A</v>
      </c>
      <c r="AG717" s="306">
        <f t="shared" ca="1" si="346"/>
        <v>7.9856563738329296</v>
      </c>
      <c r="AH717" s="304">
        <f t="shared" ca="1" si="347"/>
        <v>-1.5631819767107817</v>
      </c>
    </row>
    <row r="718" spans="1:34" x14ac:dyDescent="0.25">
      <c r="A718" s="347">
        <f t="shared" ca="1" si="325"/>
        <v>0.1</v>
      </c>
      <c r="B718" s="304">
        <f t="shared" ca="1" si="326"/>
        <v>26.400000000000045</v>
      </c>
      <c r="D718" s="306">
        <f t="shared" ca="1" si="327"/>
        <v>-0.36218398376089622</v>
      </c>
      <c r="E718" s="307">
        <f t="shared" ca="1" si="328"/>
        <v>-8.247049474868966</v>
      </c>
      <c r="F718" s="304">
        <f t="shared" ca="1" si="329"/>
        <v>8.254998623805422</v>
      </c>
      <c r="G718" s="306">
        <f t="shared" ca="1" si="330"/>
        <v>14.263123787509436</v>
      </c>
      <c r="H718" s="307">
        <f t="shared" ca="1" si="331"/>
        <v>-62.531366148752056</v>
      </c>
      <c r="I718" s="304">
        <f t="shared" ca="1" si="332"/>
        <v>64.137418505947934</v>
      </c>
      <c r="J718" s="306">
        <f t="shared" ca="1" si="333"/>
        <v>466.73984296580841</v>
      </c>
      <c r="K718" s="307">
        <f t="shared" ca="1" si="334"/>
        <v>1785.9374575012321</v>
      </c>
      <c r="L718" s="304">
        <f t="shared" ca="1" si="319"/>
        <v>1845.919468210277</v>
      </c>
      <c r="M718" s="306">
        <f t="shared" ca="1" si="335"/>
        <v>-1.3465374948926583</v>
      </c>
      <c r="N718" s="304">
        <f t="shared" ca="1" si="336"/>
        <v>-77.15091541346797</v>
      </c>
      <c r="P718" s="310">
        <f t="shared" ca="1" si="337"/>
        <v>23</v>
      </c>
      <c r="Q718" s="304">
        <f t="shared" ca="1" si="338"/>
        <v>0</v>
      </c>
      <c r="R718" s="306">
        <f t="shared" ca="1" si="339"/>
        <v>0</v>
      </c>
      <c r="S718" s="307">
        <f t="shared" ca="1" si="340"/>
        <v>10.637999999999975</v>
      </c>
      <c r="T718" s="304">
        <f t="shared" ca="1" si="320"/>
        <v>104.35877999999975</v>
      </c>
      <c r="U718" s="311">
        <f t="shared" ca="1" si="321"/>
        <v>0</v>
      </c>
      <c r="V718" s="306">
        <f t="shared" ca="1" si="322"/>
        <v>1.0241572876120852</v>
      </c>
      <c r="W718" s="304">
        <f t="shared" ca="1" si="323"/>
        <v>17.509659339587287</v>
      </c>
      <c r="Y718" s="314" t="str">
        <f t="shared" ca="1" si="341"/>
        <v/>
      </c>
      <c r="Z718" s="315" t="str">
        <f t="shared" ca="1" si="342"/>
        <v/>
      </c>
      <c r="AA718" s="316" t="str">
        <f t="shared" ca="1" si="343"/>
        <v/>
      </c>
      <c r="AC718" s="310" t="e">
        <f t="shared" ca="1" si="344"/>
        <v>#N/A</v>
      </c>
      <c r="AD718" s="323" t="e">
        <f t="shared" ca="1" si="345"/>
        <v>#N/A</v>
      </c>
      <c r="AE718" s="324" t="e">
        <f t="shared" ca="1" si="324"/>
        <v>#N/A</v>
      </c>
      <c r="AG718" s="306">
        <f t="shared" ca="1" si="346"/>
        <v>7.9523935296824879</v>
      </c>
      <c r="AH718" s="304">
        <f t="shared" ca="1" si="347"/>
        <v>-1.6043664114223697</v>
      </c>
    </row>
    <row r="719" spans="1:34" x14ac:dyDescent="0.25">
      <c r="A719" s="347">
        <f t="shared" ca="1" si="325"/>
        <v>0.1</v>
      </c>
      <c r="B719" s="304">
        <f t="shared" ca="1" si="326"/>
        <v>26.500000000000046</v>
      </c>
      <c r="D719" s="306">
        <f t="shared" ca="1" si="327"/>
        <v>-0.36603354358994716</v>
      </c>
      <c r="E719" s="307">
        <f t="shared" ca="1" si="328"/>
        <v>-8.2052619441617516</v>
      </c>
      <c r="F719" s="304">
        <f t="shared" ca="1" si="329"/>
        <v>8.2134221934186549</v>
      </c>
      <c r="G719" s="306">
        <f t="shared" ca="1" si="330"/>
        <v>14.226520433150441</v>
      </c>
      <c r="H719" s="307">
        <f t="shared" ca="1" si="331"/>
        <v>-63.351892343168231</v>
      </c>
      <c r="I719" s="304">
        <f t="shared" ca="1" si="332"/>
        <v>64.929624572264586</v>
      </c>
      <c r="J719" s="306">
        <f t="shared" ca="1" si="333"/>
        <v>468.16432517684137</v>
      </c>
      <c r="K719" s="307">
        <f t="shared" ca="1" si="334"/>
        <v>1779.643294576636</v>
      </c>
      <c r="L719" s="304">
        <f t="shared" ca="1" si="319"/>
        <v>1840.1924060542883</v>
      </c>
      <c r="M719" s="306">
        <f t="shared" ca="1" si="335"/>
        <v>-1.3498974239551456</v>
      </c>
      <c r="N719" s="304">
        <f t="shared" ca="1" si="336"/>
        <v>-77.343425168211837</v>
      </c>
      <c r="P719" s="310">
        <f t="shared" ca="1" si="337"/>
        <v>23</v>
      </c>
      <c r="Q719" s="304">
        <f t="shared" ca="1" si="338"/>
        <v>0</v>
      </c>
      <c r="R719" s="306">
        <f t="shared" ca="1" si="339"/>
        <v>0</v>
      </c>
      <c r="S719" s="307">
        <f t="shared" ca="1" si="340"/>
        <v>10.637999999999975</v>
      </c>
      <c r="T719" s="304">
        <f t="shared" ca="1" si="320"/>
        <v>104.35877999999975</v>
      </c>
      <c r="U719" s="311">
        <f t="shared" ca="1" si="321"/>
        <v>0</v>
      </c>
      <c r="V719" s="306">
        <f t="shared" ca="1" si="322"/>
        <v>1.0248072781660995</v>
      </c>
      <c r="W719" s="304">
        <f t="shared" ca="1" si="323"/>
        <v>17.956267640269164</v>
      </c>
      <c r="Y719" s="314" t="str">
        <f t="shared" ca="1" si="341"/>
        <v/>
      </c>
      <c r="Z719" s="315" t="str">
        <f t="shared" ca="1" si="342"/>
        <v/>
      </c>
      <c r="AA719" s="316" t="str">
        <f t="shared" ca="1" si="343"/>
        <v/>
      </c>
      <c r="AC719" s="310" t="e">
        <f t="shared" ca="1" si="344"/>
        <v>#N/A</v>
      </c>
      <c r="AD719" s="323" t="e">
        <f t="shared" ca="1" si="345"/>
        <v>#N/A</v>
      </c>
      <c r="AE719" s="324" t="e">
        <f t="shared" ca="1" si="324"/>
        <v>#N/A</v>
      </c>
      <c r="AG719" s="306">
        <f t="shared" ca="1" si="346"/>
        <v>7.9183956739246888</v>
      </c>
      <c r="AH719" s="304">
        <f t="shared" ca="1" si="347"/>
        <v>-1.6459540646350186</v>
      </c>
    </row>
    <row r="720" spans="1:34" x14ac:dyDescent="0.25">
      <c r="A720" s="347">
        <f t="shared" ca="1" si="325"/>
        <v>0.1</v>
      </c>
      <c r="B720" s="304">
        <f t="shared" ca="1" si="326"/>
        <v>26.600000000000048</v>
      </c>
      <c r="D720" s="306">
        <f t="shared" ca="1" si="327"/>
        <v>-0.36983830005093338</v>
      </c>
      <c r="E720" s="307">
        <f t="shared" ca="1" si="328"/>
        <v>-8.1630789359701126</v>
      </c>
      <c r="F720" s="304">
        <f t="shared" ca="1" si="329"/>
        <v>8.1714526299222658</v>
      </c>
      <c r="G720" s="306">
        <f t="shared" ca="1" si="330"/>
        <v>14.189536603145347</v>
      </c>
      <c r="H720" s="307">
        <f t="shared" ca="1" si="331"/>
        <v>-64.168200236765244</v>
      </c>
      <c r="I720" s="304">
        <f t="shared" ca="1" si="332"/>
        <v>65.718345008358213</v>
      </c>
      <c r="J720" s="306">
        <f t="shared" ca="1" si="333"/>
        <v>469.58512802865619</v>
      </c>
      <c r="K720" s="307">
        <f t="shared" ca="1" si="334"/>
        <v>1773.2672899476393</v>
      </c>
      <c r="L720" s="304">
        <f t="shared" ca="1" si="319"/>
        <v>1834.390109563376</v>
      </c>
      <c r="M720" s="306">
        <f t="shared" ca="1" si="335"/>
        <v>-1.3531681107978497</v>
      </c>
      <c r="N720" s="304">
        <f t="shared" ca="1" si="336"/>
        <v>-77.530821720407744</v>
      </c>
      <c r="P720" s="310">
        <f t="shared" ca="1" si="337"/>
        <v>23</v>
      </c>
      <c r="Q720" s="304">
        <f t="shared" ca="1" si="338"/>
        <v>0</v>
      </c>
      <c r="R720" s="306">
        <f t="shared" ca="1" si="339"/>
        <v>0</v>
      </c>
      <c r="S720" s="307">
        <f t="shared" ca="1" si="340"/>
        <v>10.637999999999975</v>
      </c>
      <c r="T720" s="304">
        <f t="shared" ca="1" si="320"/>
        <v>104.35877999999975</v>
      </c>
      <c r="U720" s="311">
        <f t="shared" ca="1" si="321"/>
        <v>0</v>
      </c>
      <c r="V720" s="306">
        <f t="shared" ca="1" si="322"/>
        <v>1.0254661035701564</v>
      </c>
      <c r="W720" s="304">
        <f t="shared" ca="1" si="323"/>
        <v>18.406983834022224</v>
      </c>
      <c r="Y720" s="314" t="str">
        <f t="shared" ca="1" si="341"/>
        <v/>
      </c>
      <c r="Z720" s="315" t="str">
        <f t="shared" ca="1" si="342"/>
        <v/>
      </c>
      <c r="AA720" s="316" t="str">
        <f t="shared" ca="1" si="343"/>
        <v/>
      </c>
      <c r="AC720" s="310" t="e">
        <f t="shared" ca="1" si="344"/>
        <v>#N/A</v>
      </c>
      <c r="AD720" s="323" t="e">
        <f t="shared" ca="1" si="345"/>
        <v>#N/A</v>
      </c>
      <c r="AE720" s="324" t="e">
        <f t="shared" ca="1" si="324"/>
        <v>#N/A</v>
      </c>
      <c r="AG720" s="306">
        <f t="shared" ca="1" si="346"/>
        <v>7.8836892894400616</v>
      </c>
      <c r="AH720" s="304">
        <f t="shared" ca="1" si="347"/>
        <v>-1.6879364204050769</v>
      </c>
    </row>
    <row r="721" spans="1:34" x14ac:dyDescent="0.25">
      <c r="A721" s="347">
        <f t="shared" ca="1" si="325"/>
        <v>0.1</v>
      </c>
      <c r="B721" s="304">
        <f t="shared" ca="1" si="326"/>
        <v>26.700000000000049</v>
      </c>
      <c r="D721" s="306">
        <f t="shared" ca="1" si="327"/>
        <v>-0.37359773927080847</v>
      </c>
      <c r="E721" s="307">
        <f t="shared" ca="1" si="328"/>
        <v>-8.1205089889815003</v>
      </c>
      <c r="F721" s="304">
        <f t="shared" ca="1" si="329"/>
        <v>8.1290984439184637</v>
      </c>
      <c r="G721" s="306">
        <f t="shared" ca="1" si="330"/>
        <v>14.152176829218266</v>
      </c>
      <c r="H721" s="307">
        <f t="shared" ca="1" si="331"/>
        <v>-64.980251135663394</v>
      </c>
      <c r="I721" s="304">
        <f t="shared" ca="1" si="332"/>
        <v>66.503512288144194</v>
      </c>
      <c r="J721" s="306">
        <f t="shared" ca="1" si="333"/>
        <v>471.00221370027435</v>
      </c>
      <c r="K721" s="307">
        <f t="shared" ca="1" si="334"/>
        <v>1766.8098673790178</v>
      </c>
      <c r="L721" s="304">
        <f t="shared" ca="1" si="319"/>
        <v>1828.5131098185818</v>
      </c>
      <c r="M721" s="306">
        <f t="shared" ca="1" si="335"/>
        <v>-1.3563530911218353</v>
      </c>
      <c r="N721" s="304">
        <f t="shared" ca="1" si="336"/>
        <v>-77.713307650804339</v>
      </c>
      <c r="P721" s="310">
        <f t="shared" ca="1" si="337"/>
        <v>23</v>
      </c>
      <c r="Q721" s="304">
        <f t="shared" ca="1" si="338"/>
        <v>0</v>
      </c>
      <c r="R721" s="306">
        <f t="shared" ca="1" si="339"/>
        <v>0</v>
      </c>
      <c r="S721" s="307">
        <f t="shared" ca="1" si="340"/>
        <v>10.637999999999975</v>
      </c>
      <c r="T721" s="304">
        <f t="shared" ca="1" si="320"/>
        <v>104.35877999999975</v>
      </c>
      <c r="U721" s="311">
        <f t="shared" ca="1" si="321"/>
        <v>0</v>
      </c>
      <c r="V721" s="306">
        <f t="shared" ca="1" si="322"/>
        <v>1.0261337351935154</v>
      </c>
      <c r="W721" s="304">
        <f t="shared" ca="1" si="323"/>
        <v>18.861716641908455</v>
      </c>
      <c r="Y721" s="314" t="str">
        <f t="shared" ca="1" si="341"/>
        <v/>
      </c>
      <c r="Z721" s="315" t="str">
        <f t="shared" ca="1" si="342"/>
        <v/>
      </c>
      <c r="AA721" s="316" t="str">
        <f t="shared" ca="1" si="343"/>
        <v/>
      </c>
      <c r="AC721" s="310" t="e">
        <f t="shared" ca="1" si="344"/>
        <v>#N/A</v>
      </c>
      <c r="AD721" s="323" t="e">
        <f t="shared" ca="1" si="345"/>
        <v>#N/A</v>
      </c>
      <c r="AE721" s="324" t="e">
        <f t="shared" ca="1" si="324"/>
        <v>#N/A</v>
      </c>
      <c r="AG721" s="306">
        <f t="shared" ca="1" si="346"/>
        <v>7.8482997094279181</v>
      </c>
      <c r="AH721" s="304">
        <f t="shared" ca="1" si="347"/>
        <v>-1.7303049289361034</v>
      </c>
    </row>
    <row r="722" spans="1:34" x14ac:dyDescent="0.25">
      <c r="A722" s="347">
        <f t="shared" ca="1" si="325"/>
        <v>0.1</v>
      </c>
      <c r="B722" s="304">
        <f t="shared" ca="1" si="326"/>
        <v>26.80000000000005</v>
      </c>
      <c r="D722" s="306">
        <f t="shared" ca="1" si="327"/>
        <v>-0.37731137129624109</v>
      </c>
      <c r="E722" s="307">
        <f t="shared" ca="1" si="328"/>
        <v>-8.0775606757151035</v>
      </c>
      <c r="F722" s="304">
        <f t="shared" ca="1" si="329"/>
        <v>8.0863681798919149</v>
      </c>
      <c r="G722" s="306">
        <f t="shared" ca="1" si="330"/>
        <v>14.114445692088642</v>
      </c>
      <c r="H722" s="307">
        <f t="shared" ca="1" si="331"/>
        <v>-65.788007203234898</v>
      </c>
      <c r="I722" s="304">
        <f t="shared" ca="1" si="332"/>
        <v>67.285061261529719</v>
      </c>
      <c r="J722" s="306">
        <f t="shared" ca="1" si="333"/>
        <v>472.41554482633973</v>
      </c>
      <c r="K722" s="307">
        <f t="shared" ca="1" si="334"/>
        <v>1760.2714544620728</v>
      </c>
      <c r="L722" s="304">
        <f t="shared" ca="1" si="319"/>
        <v>1822.5619441839526</v>
      </c>
      <c r="M722" s="306">
        <f t="shared" ca="1" si="335"/>
        <v>-1.3594557191811867</v>
      </c>
      <c r="N722" s="304">
        <f t="shared" ca="1" si="336"/>
        <v>-77.891075144004034</v>
      </c>
      <c r="P722" s="310">
        <f t="shared" ca="1" si="337"/>
        <v>23</v>
      </c>
      <c r="Q722" s="304">
        <f t="shared" ca="1" si="338"/>
        <v>0</v>
      </c>
      <c r="R722" s="306">
        <f t="shared" ca="1" si="339"/>
        <v>0</v>
      </c>
      <c r="S722" s="307">
        <f t="shared" ca="1" si="340"/>
        <v>10.637999999999975</v>
      </c>
      <c r="T722" s="304">
        <f t="shared" ca="1" si="320"/>
        <v>104.35877999999975</v>
      </c>
      <c r="U722" s="311">
        <f t="shared" ca="1" si="321"/>
        <v>0</v>
      </c>
      <c r="V722" s="306">
        <f t="shared" ca="1" si="322"/>
        <v>1.0268101441217206</v>
      </c>
      <c r="W722" s="304">
        <f t="shared" ca="1" si="323"/>
        <v>19.320374492563662</v>
      </c>
      <c r="Y722" s="314" t="str">
        <f t="shared" ca="1" si="341"/>
        <v/>
      </c>
      <c r="Z722" s="315" t="str">
        <f t="shared" ca="1" si="342"/>
        <v/>
      </c>
      <c r="AA722" s="316" t="str">
        <f t="shared" ca="1" si="343"/>
        <v/>
      </c>
      <c r="AC722" s="310" t="e">
        <f t="shared" ca="1" si="344"/>
        <v>#N/A</v>
      </c>
      <c r="AD722" s="323" t="e">
        <f t="shared" ca="1" si="345"/>
        <v>#N/A</v>
      </c>
      <c r="AE722" s="324" t="e">
        <f t="shared" ca="1" si="324"/>
        <v>#N/A</v>
      </c>
      <c r="AG722" s="306">
        <f t="shared" ca="1" si="346"/>
        <v>7.8122512052327737</v>
      </c>
      <c r="AH722" s="304">
        <f t="shared" ca="1" si="347"/>
        <v>-1.7730510097676724</v>
      </c>
    </row>
    <row r="723" spans="1:34" x14ac:dyDescent="0.25">
      <c r="A723" s="347">
        <f t="shared" ca="1" si="325"/>
        <v>0.1</v>
      </c>
      <c r="B723" s="304">
        <f t="shared" ca="1" si="326"/>
        <v>26.900000000000052</v>
      </c>
      <c r="D723" s="306">
        <f t="shared" ca="1" si="327"/>
        <v>-0.38097872945046218</v>
      </c>
      <c r="E723" s="307">
        <f t="shared" ca="1" si="328"/>
        <v>-8.0342425990972561</v>
      </c>
      <c r="F723" s="304">
        <f t="shared" ca="1" si="329"/>
        <v>8.0432704128011707</v>
      </c>
      <c r="G723" s="306">
        <f t="shared" ca="1" si="330"/>
        <v>14.076347819143596</v>
      </c>
      <c r="H723" s="307">
        <f t="shared" ca="1" si="331"/>
        <v>-66.59143146314463</v>
      </c>
      <c r="I723" s="304">
        <f t="shared" ca="1" si="332"/>
        <v>68.062929060070559</v>
      </c>
      <c r="J723" s="306">
        <f t="shared" ca="1" si="333"/>
        <v>473.82508450190136</v>
      </c>
      <c r="K723" s="307">
        <f t="shared" ca="1" si="334"/>
        <v>1753.6524825287538</v>
      </c>
      <c r="L723" s="304">
        <f t="shared" ca="1" si="319"/>
        <v>1816.5371562900921</v>
      </c>
      <c r="M723" s="306">
        <f t="shared" ca="1" si="335"/>
        <v>-1.3624791790542345</v>
      </c>
      <c r="N723" s="304">
        <f t="shared" ca="1" si="336"/>
        <v>-78.064306634256837</v>
      </c>
      <c r="P723" s="310">
        <f t="shared" ca="1" si="337"/>
        <v>23</v>
      </c>
      <c r="Q723" s="304">
        <f t="shared" ca="1" si="338"/>
        <v>0</v>
      </c>
      <c r="R723" s="306">
        <f t="shared" ca="1" si="339"/>
        <v>0</v>
      </c>
      <c r="S723" s="307">
        <f t="shared" ca="1" si="340"/>
        <v>10.637999999999975</v>
      </c>
      <c r="T723" s="304">
        <f t="shared" ca="1" si="320"/>
        <v>104.35877999999975</v>
      </c>
      <c r="U723" s="311">
        <f t="shared" ca="1" si="321"/>
        <v>0</v>
      </c>
      <c r="V723" s="306">
        <f t="shared" ca="1" si="322"/>
        <v>1.0274953011616741</v>
      </c>
      <c r="W723" s="304">
        <f t="shared" ca="1" si="323"/>
        <v>19.782865555809757</v>
      </c>
      <c r="Y723" s="314" t="str">
        <f t="shared" ca="1" si="341"/>
        <v/>
      </c>
      <c r="Z723" s="315" t="str">
        <f t="shared" ca="1" si="342"/>
        <v/>
      </c>
      <c r="AA723" s="316" t="str">
        <f t="shared" ca="1" si="343"/>
        <v/>
      </c>
      <c r="AC723" s="310" t="e">
        <f t="shared" ca="1" si="344"/>
        <v>#N/A</v>
      </c>
      <c r="AD723" s="323" t="e">
        <f t="shared" ca="1" si="345"/>
        <v>#N/A</v>
      </c>
      <c r="AE723" s="324" t="e">
        <f t="shared" ca="1" si="324"/>
        <v>#N/A</v>
      </c>
      <c r="AG723" s="306">
        <f t="shared" ca="1" si="346"/>
        <v>7.7755670662427665</v>
      </c>
      <c r="AH723" s="304">
        <f t="shared" ca="1" si="347"/>
        <v>-1.8161660549505272</v>
      </c>
    </row>
    <row r="724" spans="1:34" x14ac:dyDescent="0.25">
      <c r="A724" s="347">
        <f t="shared" ca="1" si="325"/>
        <v>0.1</v>
      </c>
      <c r="B724" s="304">
        <f t="shared" ca="1" si="326"/>
        <v>27.000000000000053</v>
      </c>
      <c r="D724" s="306">
        <f t="shared" ca="1" si="327"/>
        <v>-0.38459936973212028</v>
      </c>
      <c r="E724" s="307">
        <f t="shared" ca="1" si="328"/>
        <v>-7.990563389073511</v>
      </c>
      <c r="F724" s="304">
        <f t="shared" ca="1" si="329"/>
        <v>7.9998137447068292</v>
      </c>
      <c r="G724" s="306">
        <f t="shared" ca="1" si="330"/>
        <v>14.037887882170384</v>
      </c>
      <c r="H724" s="307">
        <f t="shared" ca="1" si="331"/>
        <v>-67.390487802051979</v>
      </c>
      <c r="I724" s="304">
        <f t="shared" ca="1" si="332"/>
        <v>68.837055009572452</v>
      </c>
      <c r="J724" s="306">
        <f t="shared" ca="1" si="333"/>
        <v>475.23079628696706</v>
      </c>
      <c r="K724" s="307">
        <f t="shared" ca="1" si="334"/>
        <v>1746.9533865654939</v>
      </c>
      <c r="L724" s="304">
        <f t="shared" ca="1" si="319"/>
        <v>1810.4392960196685</v>
      </c>
      <c r="M724" s="306">
        <f t="shared" ca="1" si="335"/>
        <v>-1.3654264951016659</v>
      </c>
      <c r="N724" s="304">
        <f t="shared" ca="1" si="336"/>
        <v>-78.233175404665829</v>
      </c>
      <c r="P724" s="310">
        <f t="shared" ca="1" si="337"/>
        <v>23</v>
      </c>
      <c r="Q724" s="304">
        <f t="shared" ca="1" si="338"/>
        <v>0</v>
      </c>
      <c r="R724" s="306">
        <f t="shared" ca="1" si="339"/>
        <v>0</v>
      </c>
      <c r="S724" s="307">
        <f t="shared" ca="1" si="340"/>
        <v>10.637999999999975</v>
      </c>
      <c r="T724" s="304">
        <f t="shared" ca="1" si="320"/>
        <v>104.35877999999975</v>
      </c>
      <c r="U724" s="311">
        <f t="shared" ca="1" si="321"/>
        <v>0</v>
      </c>
      <c r="V724" s="306">
        <f t="shared" ca="1" si="322"/>
        <v>1.028189176846743</v>
      </c>
      <c r="W724" s="304">
        <f t="shared" ca="1" si="323"/>
        <v>20.249097776083261</v>
      </c>
      <c r="Y724" s="314" t="str">
        <f t="shared" ca="1" si="341"/>
        <v/>
      </c>
      <c r="Z724" s="315" t="str">
        <f t="shared" ca="1" si="342"/>
        <v/>
      </c>
      <c r="AA724" s="316" t="str">
        <f t="shared" ca="1" si="343"/>
        <v/>
      </c>
      <c r="AC724" s="310">
        <f t="shared" ca="1" si="344"/>
        <v>27.000000000000053</v>
      </c>
      <c r="AD724" s="323">
        <f t="shared" ca="1" si="345"/>
        <v>475.23079628696706</v>
      </c>
      <c r="AE724" s="324" t="e">
        <f t="shared" ca="1" si="324"/>
        <v>#N/A</v>
      </c>
      <c r="AG724" s="306">
        <f t="shared" ca="1" si="346"/>
        <v>7.7382696726317262</v>
      </c>
      <c r="AH724" s="304">
        <f t="shared" ca="1" si="347"/>
        <v>-1.8596414322062234</v>
      </c>
    </row>
    <row r="725" spans="1:34" x14ac:dyDescent="0.25">
      <c r="A725" s="347">
        <f t="shared" ca="1" si="325"/>
        <v>0.1</v>
      </c>
      <c r="B725" s="304">
        <f t="shared" ca="1" si="326"/>
        <v>27.100000000000055</v>
      </c>
      <c r="D725" s="306">
        <f t="shared" ca="1" si="327"/>
        <v>-0.38817287025204983</v>
      </c>
      <c r="E725" s="307">
        <f t="shared" ca="1" si="328"/>
        <v>-7.9465316992570383</v>
      </c>
      <c r="F725" s="304">
        <f t="shared" ca="1" si="329"/>
        <v>7.9560068014360485</v>
      </c>
      <c r="G725" s="306">
        <f t="shared" ca="1" si="330"/>
        <v>13.999070595145179</v>
      </c>
      <c r="H725" s="307">
        <f t="shared" ca="1" si="331"/>
        <v>-68.185140971977688</v>
      </c>
      <c r="I725" s="304">
        <f t="shared" ca="1" si="332"/>
        <v>69.607380549021741</v>
      </c>
      <c r="J725" s="306">
        <f t="shared" ca="1" si="333"/>
        <v>476.63264421083284</v>
      </c>
      <c r="K725" s="307">
        <f t="shared" ca="1" si="334"/>
        <v>1740.1746051267924</v>
      </c>
      <c r="L725" s="304">
        <f t="shared" ca="1" si="319"/>
        <v>1804.2689194949844</v>
      </c>
      <c r="M725" s="306">
        <f t="shared" ca="1" si="335"/>
        <v>-1.3683005416776317</v>
      </c>
      <c r="N725" s="304">
        <f t="shared" ca="1" si="336"/>
        <v>-78.397846143592702</v>
      </c>
      <c r="P725" s="310">
        <f t="shared" ca="1" si="337"/>
        <v>23</v>
      </c>
      <c r="Q725" s="304">
        <f t="shared" ca="1" si="338"/>
        <v>0</v>
      </c>
      <c r="R725" s="306">
        <f t="shared" ca="1" si="339"/>
        <v>0</v>
      </c>
      <c r="S725" s="307">
        <f t="shared" ca="1" si="340"/>
        <v>10.637999999999975</v>
      </c>
      <c r="T725" s="304">
        <f t="shared" ca="1" si="320"/>
        <v>104.35877999999975</v>
      </c>
      <c r="U725" s="311">
        <f t="shared" ca="1" si="321"/>
        <v>0</v>
      </c>
      <c r="V725" s="306">
        <f t="shared" ca="1" si="322"/>
        <v>1.0288917414418912</v>
      </c>
      <c r="W725" s="304">
        <f t="shared" ca="1" si="323"/>
        <v>20.718978905660929</v>
      </c>
      <c r="Y725" s="314" t="str">
        <f t="shared" ca="1" si="341"/>
        <v/>
      </c>
      <c r="Z725" s="315" t="str">
        <f t="shared" ca="1" si="342"/>
        <v/>
      </c>
      <c r="AA725" s="316" t="str">
        <f t="shared" ca="1" si="343"/>
        <v/>
      </c>
      <c r="AC725" s="310" t="e">
        <f t="shared" ca="1" si="344"/>
        <v>#N/A</v>
      </c>
      <c r="AD725" s="323" t="e">
        <f t="shared" ca="1" si="345"/>
        <v>#N/A</v>
      </c>
      <c r="AE725" s="324" t="e">
        <f t="shared" ca="1" si="324"/>
        <v>#N/A</v>
      </c>
      <c r="AG725" s="306">
        <f t="shared" ca="1" si="346"/>
        <v>7.7003805616348755</v>
      </c>
      <c r="AH725" s="304">
        <f t="shared" ca="1" si="347"/>
        <v>-1.903468488069497</v>
      </c>
    </row>
    <row r="726" spans="1:34" x14ac:dyDescent="0.25">
      <c r="A726" s="347">
        <f t="shared" ca="1" si="325"/>
        <v>0.1</v>
      </c>
      <c r="B726" s="304">
        <f t="shared" ca="1" si="326"/>
        <v>27.200000000000056</v>
      </c>
      <c r="D726" s="306">
        <f t="shared" ca="1" si="327"/>
        <v>-0.39169883070424316</v>
      </c>
      <c r="E726" s="307">
        <f t="shared" ca="1" si="328"/>
        <v>-7.9021562036132682</v>
      </c>
      <c r="F726" s="304">
        <f t="shared" ca="1" si="329"/>
        <v>7.9118582292833537</v>
      </c>
      <c r="G726" s="306">
        <f t="shared" ca="1" si="330"/>
        <v>13.959900712074754</v>
      </c>
      <c r="H726" s="307">
        <f t="shared" ca="1" si="331"/>
        <v>-68.975356592339011</v>
      </c>
      <c r="I726" s="304">
        <f t="shared" ca="1" si="332"/>
        <v>70.373849155288568</v>
      </c>
      <c r="J726" s="306">
        <f t="shared" ca="1" si="333"/>
        <v>478.03059277619383</v>
      </c>
      <c r="K726" s="307">
        <f t="shared" ca="1" si="334"/>
        <v>1733.3165802485764</v>
      </c>
      <c r="L726" s="304">
        <f t="shared" ca="1" si="319"/>
        <v>1798.0265890677422</v>
      </c>
      <c r="M726" s="306">
        <f t="shared" ca="1" si="335"/>
        <v>-1.3711040521540436</v>
      </c>
      <c r="N726" s="304">
        <f t="shared" ca="1" si="336"/>
        <v>-78.558475461711808</v>
      </c>
      <c r="P726" s="310">
        <f t="shared" ca="1" si="337"/>
        <v>23</v>
      </c>
      <c r="Q726" s="304">
        <f t="shared" ca="1" si="338"/>
        <v>0</v>
      </c>
      <c r="R726" s="306">
        <f t="shared" ca="1" si="339"/>
        <v>0</v>
      </c>
      <c r="S726" s="307">
        <f t="shared" ca="1" si="340"/>
        <v>10.637999999999975</v>
      </c>
      <c r="T726" s="304">
        <f t="shared" ca="1" si="320"/>
        <v>104.35877999999975</v>
      </c>
      <c r="U726" s="311">
        <f t="shared" ca="1" si="321"/>
        <v>0</v>
      </c>
      <c r="V726" s="306">
        <f t="shared" ca="1" si="322"/>
        <v>1.0296029649488299</v>
      </c>
      <c r="W726" s="304">
        <f t="shared" ca="1" si="323"/>
        <v>21.192416537664229</v>
      </c>
      <c r="Y726" s="314" t="str">
        <f t="shared" ca="1" si="341"/>
        <v/>
      </c>
      <c r="Z726" s="315" t="str">
        <f t="shared" ca="1" si="342"/>
        <v/>
      </c>
      <c r="AA726" s="316" t="str">
        <f t="shared" ca="1" si="343"/>
        <v/>
      </c>
      <c r="AC726" s="310" t="e">
        <f t="shared" ca="1" si="344"/>
        <v>#N/A</v>
      </c>
      <c r="AD726" s="323" t="e">
        <f t="shared" ca="1" si="345"/>
        <v>#N/A</v>
      </c>
      <c r="AE726" s="324" t="e">
        <f t="shared" ca="1" si="324"/>
        <v>#N/A</v>
      </c>
      <c r="AG726" s="306">
        <f t="shared" ca="1" si="346"/>
        <v>7.6619204879760341</v>
      </c>
      <c r="AH726" s="304">
        <f t="shared" ca="1" si="347"/>
        <v>-1.9476385510115601</v>
      </c>
    </row>
    <row r="727" spans="1:34" x14ac:dyDescent="0.25">
      <c r="A727" s="347">
        <f t="shared" ca="1" si="325"/>
        <v>0.1</v>
      </c>
      <c r="B727" s="304">
        <f t="shared" ca="1" si="326"/>
        <v>27.300000000000058</v>
      </c>
      <c r="D727" s="306">
        <f t="shared" ca="1" si="327"/>
        <v>-0.39517687186769646</v>
      </c>
      <c r="E727" s="307">
        <f t="shared" ca="1" si="328"/>
        <v>-7.857445593180846</v>
      </c>
      <c r="F727" s="304">
        <f t="shared" ca="1" si="329"/>
        <v>7.8673766917477792</v>
      </c>
      <c r="G727" s="306">
        <f t="shared" ca="1" si="330"/>
        <v>13.920383024887984</v>
      </c>
      <c r="H727" s="307">
        <f t="shared" ca="1" si="331"/>
        <v>-69.761101151657101</v>
      </c>
      <c r="I727" s="304">
        <f t="shared" ca="1" si="332"/>
        <v>71.136406273098473</v>
      </c>
      <c r="J727" s="306">
        <f t="shared" ca="1" si="333"/>
        <v>479.42460696304198</v>
      </c>
      <c r="K727" s="307">
        <f t="shared" ca="1" si="334"/>
        <v>1726.3797573613767</v>
      </c>
      <c r="L727" s="304">
        <f t="shared" ca="1" si="319"/>
        <v>1791.7128733111213</v>
      </c>
      <c r="M727" s="306">
        <f t="shared" ca="1" si="335"/>
        <v>-1.3738396273129139</v>
      </c>
      <c r="N727" s="304">
        <f t="shared" ca="1" si="336"/>
        <v>-78.715212372855902</v>
      </c>
      <c r="P727" s="310">
        <f t="shared" ca="1" si="337"/>
        <v>23</v>
      </c>
      <c r="Q727" s="304">
        <f t="shared" ca="1" si="338"/>
        <v>0</v>
      </c>
      <c r="R727" s="306">
        <f t="shared" ca="1" si="339"/>
        <v>0</v>
      </c>
      <c r="S727" s="307">
        <f t="shared" ca="1" si="340"/>
        <v>10.637999999999975</v>
      </c>
      <c r="T727" s="304">
        <f t="shared" ca="1" si="320"/>
        <v>104.35877999999975</v>
      </c>
      <c r="U727" s="311">
        <f t="shared" ca="1" si="321"/>
        <v>0</v>
      </c>
      <c r="V727" s="306">
        <f t="shared" ca="1" si="322"/>
        <v>1.0303228171111996</v>
      </c>
      <c r="W727" s="304">
        <f t="shared" ca="1" si="323"/>
        <v>21.669318138824956</v>
      </c>
      <c r="Y727" s="314" t="str">
        <f t="shared" ca="1" si="341"/>
        <v/>
      </c>
      <c r="Z727" s="315" t="str">
        <f t="shared" ca="1" si="342"/>
        <v/>
      </c>
      <c r="AA727" s="316" t="str">
        <f t="shared" ca="1" si="343"/>
        <v/>
      </c>
      <c r="AC727" s="310" t="e">
        <f t="shared" ca="1" si="344"/>
        <v>#N/A</v>
      </c>
      <c r="AD727" s="323" t="e">
        <f t="shared" ca="1" si="345"/>
        <v>#N/A</v>
      </c>
      <c r="AE727" s="324" t="e">
        <f t="shared" ca="1" si="324"/>
        <v>#N/A</v>
      </c>
      <c r="AG727" s="306">
        <f t="shared" ca="1" si="346"/>
        <v>7.622909479000068</v>
      </c>
      <c r="AH727" s="304">
        <f t="shared" ca="1" si="347"/>
        <v>-1.9921429345426094</v>
      </c>
    </row>
    <row r="728" spans="1:34" x14ac:dyDescent="0.25">
      <c r="A728" s="347">
        <f t="shared" ca="1" si="325"/>
        <v>0.1</v>
      </c>
      <c r="B728" s="304">
        <f t="shared" ca="1" si="326"/>
        <v>27.400000000000059</v>
      </c>
      <c r="D728" s="306">
        <f t="shared" ca="1" si="327"/>
        <v>-0.39860663513611261</v>
      </c>
      <c r="E728" s="307">
        <f t="shared" ca="1" si="328"/>
        <v>-7.8124085728290673</v>
      </c>
      <c r="F728" s="304">
        <f t="shared" ca="1" si="329"/>
        <v>7.8225708663065259</v>
      </c>
      <c r="G728" s="306">
        <f t="shared" ca="1" si="330"/>
        <v>13.880522361374373</v>
      </c>
      <c r="H728" s="307">
        <f t="shared" ca="1" si="331"/>
        <v>-70.542342008940011</v>
      </c>
      <c r="I728" s="304">
        <f t="shared" ca="1" si="332"/>
        <v>71.89499924981483</v>
      </c>
      <c r="J728" s="306">
        <f t="shared" ca="1" si="333"/>
        <v>480.81465223235512</v>
      </c>
      <c r="K728" s="307">
        <f t="shared" ca="1" si="334"/>
        <v>1719.3645852033469</v>
      </c>
      <c r="L728" s="304">
        <f t="shared" ca="1" si="319"/>
        <v>1785.3283470142958</v>
      </c>
      <c r="M728" s="306">
        <f t="shared" ca="1" si="335"/>
        <v>-1.3765097431567486</v>
      </c>
      <c r="N728" s="304">
        <f t="shared" ca="1" si="336"/>
        <v>-78.86819874151864</v>
      </c>
      <c r="P728" s="310">
        <f t="shared" ca="1" si="337"/>
        <v>23</v>
      </c>
      <c r="Q728" s="304">
        <f t="shared" ca="1" si="338"/>
        <v>0</v>
      </c>
      <c r="R728" s="306">
        <f t="shared" ca="1" si="339"/>
        <v>0</v>
      </c>
      <c r="S728" s="307">
        <f t="shared" ca="1" si="340"/>
        <v>10.637999999999975</v>
      </c>
      <c r="T728" s="304">
        <f t="shared" ca="1" si="320"/>
        <v>104.35877999999975</v>
      </c>
      <c r="U728" s="311">
        <f t="shared" ca="1" si="321"/>
        <v>0</v>
      </c>
      <c r="V728" s="306">
        <f t="shared" ca="1" si="322"/>
        <v>1.0310512674197663</v>
      </c>
      <c r="W728" s="304">
        <f t="shared" ca="1" si="323"/>
        <v>22.1495910819941</v>
      </c>
      <c r="Y728" s="314" t="str">
        <f t="shared" ca="1" si="341"/>
        <v/>
      </c>
      <c r="Z728" s="315" t="str">
        <f t="shared" ca="1" si="342"/>
        <v/>
      </c>
      <c r="AA728" s="316" t="str">
        <f t="shared" ca="1" si="343"/>
        <v/>
      </c>
      <c r="AC728" s="310" t="e">
        <f t="shared" ca="1" si="344"/>
        <v>#N/A</v>
      </c>
      <c r="AD728" s="323" t="e">
        <f t="shared" ca="1" si="345"/>
        <v>#N/A</v>
      </c>
      <c r="AE728" s="324" t="e">
        <f t="shared" ca="1" si="324"/>
        <v>#N/A</v>
      </c>
      <c r="AG728" s="306">
        <f t="shared" ca="1" si="346"/>
        <v>7.583366885007365</v>
      </c>
      <c r="AH728" s="304">
        <f t="shared" ca="1" si="347"/>
        <v>-2.0369729402918786</v>
      </c>
    </row>
    <row r="729" spans="1:34" x14ac:dyDescent="0.25">
      <c r="A729" s="347">
        <f t="shared" ca="1" si="325"/>
        <v>0.1</v>
      </c>
      <c r="B729" s="304">
        <f t="shared" ca="1" si="326"/>
        <v>27.50000000000006</v>
      </c>
      <c r="D729" s="306">
        <f t="shared" ca="1" si="327"/>
        <v>-0.401987782072741</v>
      </c>
      <c r="E729" s="307">
        <f t="shared" ca="1" si="328"/>
        <v>-7.767053858052158</v>
      </c>
      <c r="F729" s="304">
        <f t="shared" ca="1" si="329"/>
        <v>7.7774494412254898</v>
      </c>
      <c r="G729" s="306">
        <f t="shared" ca="1" si="330"/>
        <v>13.840323583167098</v>
      </c>
      <c r="H729" s="307">
        <f t="shared" ca="1" si="331"/>
        <v>-71.319047394745226</v>
      </c>
      <c r="I729" s="304">
        <f t="shared" ca="1" si="332"/>
        <v>72.649577274617968</v>
      </c>
      <c r="J729" s="306">
        <f t="shared" ca="1" si="333"/>
        <v>482.20069452958217</v>
      </c>
      <c r="K729" s="307">
        <f t="shared" ca="1" si="334"/>
        <v>1712.2715157331627</v>
      </c>
      <c r="L729" s="304">
        <f t="shared" ca="1" si="319"/>
        <v>1778.8735911795288</v>
      </c>
      <c r="M729" s="306">
        <f t="shared" ca="1" si="335"/>
        <v>-1.3791167581826427</v>
      </c>
      <c r="N729" s="304">
        <f t="shared" ca="1" si="336"/>
        <v>-79.017569699629561</v>
      </c>
      <c r="P729" s="310">
        <f t="shared" ca="1" si="337"/>
        <v>23</v>
      </c>
      <c r="Q729" s="304">
        <f t="shared" ca="1" si="338"/>
        <v>0</v>
      </c>
      <c r="R729" s="306">
        <f t="shared" ca="1" si="339"/>
        <v>0</v>
      </c>
      <c r="S729" s="307">
        <f t="shared" ca="1" si="340"/>
        <v>10.637999999999975</v>
      </c>
      <c r="T729" s="304">
        <f t="shared" ca="1" si="320"/>
        <v>104.35877999999975</v>
      </c>
      <c r="U729" s="311">
        <f t="shared" ca="1" si="321"/>
        <v>0</v>
      </c>
      <c r="V729" s="306">
        <f t="shared" ca="1" si="322"/>
        <v>1.031788285117639</v>
      </c>
      <c r="W729" s="304">
        <f t="shared" ca="1" si="323"/>
        <v>22.633142678377435</v>
      </c>
      <c r="Y729" s="314" t="str">
        <f t="shared" ca="1" si="341"/>
        <v/>
      </c>
      <c r="Z729" s="315" t="str">
        <f t="shared" ca="1" si="342"/>
        <v/>
      </c>
      <c r="AA729" s="316" t="str">
        <f t="shared" ca="1" si="343"/>
        <v/>
      </c>
      <c r="AC729" s="310" t="e">
        <f t="shared" ca="1" si="344"/>
        <v>#N/A</v>
      </c>
      <c r="AD729" s="323" t="e">
        <f t="shared" ca="1" si="345"/>
        <v>#N/A</v>
      </c>
      <c r="AE729" s="324" t="e">
        <f t="shared" ca="1" si="324"/>
        <v>#N/A</v>
      </c>
      <c r="AG729" s="306">
        <f t="shared" ca="1" si="346"/>
        <v>7.5433114252366984</v>
      </c>
      <c r="AH729" s="304">
        <f t="shared" ca="1" si="347"/>
        <v>-2.0821198610635601</v>
      </c>
    </row>
    <row r="730" spans="1:34" x14ac:dyDescent="0.25">
      <c r="A730" s="347">
        <f t="shared" ca="1" si="325"/>
        <v>0.1</v>
      </c>
      <c r="B730" s="304">
        <f t="shared" ca="1" si="326"/>
        <v>27.600000000000062</v>
      </c>
      <c r="D730" s="306">
        <f t="shared" ca="1" si="327"/>
        <v>-0.40531999398789459</v>
      </c>
      <c r="E730" s="307">
        <f t="shared" ca="1" si="328"/>
        <v>-7.7213901718007616</v>
      </c>
      <c r="F730" s="304">
        <f t="shared" ca="1" si="329"/>
        <v>7.7320211124070104</v>
      </c>
      <c r="G730" s="306">
        <f t="shared" ca="1" si="330"/>
        <v>13.799791583768309</v>
      </c>
      <c r="H730" s="307">
        <f t="shared" ca="1" si="331"/>
        <v>-72.091186411925307</v>
      </c>
      <c r="I730" s="304">
        <f t="shared" ca="1" si="332"/>
        <v>73.400091321703457</v>
      </c>
      <c r="J730" s="306">
        <f t="shared" ca="1" si="333"/>
        <v>483.58270028792896</v>
      </c>
      <c r="K730" s="307">
        <f t="shared" ca="1" si="334"/>
        <v>1705.1010040428291</v>
      </c>
      <c r="L730" s="304">
        <f t="shared" ca="1" si="319"/>
        <v>1772.3491930219702</v>
      </c>
      <c r="M730" s="306">
        <f t="shared" ca="1" si="335"/>
        <v>-1.3816629201617581</v>
      </c>
      <c r="N730" s="304">
        <f t="shared" ca="1" si="336"/>
        <v>-79.163454034989556</v>
      </c>
      <c r="P730" s="310">
        <f t="shared" ca="1" si="337"/>
        <v>23</v>
      </c>
      <c r="Q730" s="304">
        <f t="shared" ca="1" si="338"/>
        <v>0</v>
      </c>
      <c r="R730" s="306">
        <f t="shared" ca="1" si="339"/>
        <v>0</v>
      </c>
      <c r="S730" s="307">
        <f t="shared" ca="1" si="340"/>
        <v>10.637999999999975</v>
      </c>
      <c r="T730" s="304">
        <f t="shared" ca="1" si="320"/>
        <v>104.35877999999975</v>
      </c>
      <c r="U730" s="311">
        <f t="shared" ca="1" si="321"/>
        <v>0</v>
      </c>
      <c r="V730" s="306">
        <f t="shared" ca="1" si="322"/>
        <v>1.0325338392055017</v>
      </c>
      <c r="W730" s="304">
        <f t="shared" ca="1" si="323"/>
        <v>23.119880209480613</v>
      </c>
      <c r="Y730" s="314" t="str">
        <f t="shared" ca="1" si="341"/>
        <v/>
      </c>
      <c r="Z730" s="315" t="str">
        <f t="shared" ca="1" si="342"/>
        <v/>
      </c>
      <c r="AA730" s="316" t="str">
        <f t="shared" ca="1" si="343"/>
        <v/>
      </c>
      <c r="AC730" s="310" t="e">
        <f t="shared" ca="1" si="344"/>
        <v>#N/A</v>
      </c>
      <c r="AD730" s="323" t="e">
        <f t="shared" ca="1" si="345"/>
        <v>#N/A</v>
      </c>
      <c r="AE730" s="324" t="e">
        <f t="shared" ca="1" si="324"/>
        <v>#N/A</v>
      </c>
      <c r="AG730" s="306">
        <f t="shared" ca="1" si="346"/>
        <v>7.5027612298976729</v>
      </c>
      <c r="AH730" s="304">
        <f t="shared" ca="1" si="347"/>
        <v>-2.1275749838670324</v>
      </c>
    </row>
    <row r="731" spans="1:34" x14ac:dyDescent="0.25">
      <c r="A731" s="347">
        <f t="shared" ca="1" si="325"/>
        <v>0.1</v>
      </c>
      <c r="B731" s="304">
        <f t="shared" ca="1" si="326"/>
        <v>27.700000000000063</v>
      </c>
      <c r="D731" s="306">
        <f t="shared" ca="1" si="327"/>
        <v>-0.40860297153691644</v>
      </c>
      <c r="E731" s="307">
        <f t="shared" ca="1" si="328"/>
        <v>-7.6754262413511984</v>
      </c>
      <c r="F731" s="304">
        <f t="shared" ca="1" si="329"/>
        <v>7.6862945802754261</v>
      </c>
      <c r="G731" s="306">
        <f t="shared" ca="1" si="330"/>
        <v>13.758931286614617</v>
      </c>
      <c r="H731" s="307">
        <f t="shared" ca="1" si="331"/>
        <v>-72.858729036060424</v>
      </c>
      <c r="I731" s="304">
        <f t="shared" ca="1" si="332"/>
        <v>74.146494097157799</v>
      </c>
      <c r="J731" s="306">
        <f t="shared" ca="1" si="333"/>
        <v>484.96063643144811</v>
      </c>
      <c r="K731" s="307">
        <f t="shared" ca="1" si="334"/>
        <v>1697.8535082704298</v>
      </c>
      <c r="L731" s="304">
        <f t="shared" ca="1" si="319"/>
        <v>1765.7557459723023</v>
      </c>
      <c r="M731" s="306">
        <f t="shared" ca="1" si="335"/>
        <v>-1.3841503724622872</v>
      </c>
      <c r="N731" s="304">
        <f t="shared" ca="1" si="336"/>
        <v>-79.305974553549987</v>
      </c>
      <c r="P731" s="310">
        <f t="shared" ca="1" si="337"/>
        <v>23</v>
      </c>
      <c r="Q731" s="304">
        <f t="shared" ca="1" si="338"/>
        <v>0</v>
      </c>
      <c r="R731" s="306">
        <f t="shared" ca="1" si="339"/>
        <v>0</v>
      </c>
      <c r="S731" s="307">
        <f t="shared" ca="1" si="340"/>
        <v>10.637999999999975</v>
      </c>
      <c r="T731" s="304">
        <f t="shared" ca="1" si="320"/>
        <v>104.35877999999975</v>
      </c>
      <c r="U731" s="311">
        <f t="shared" ca="1" si="321"/>
        <v>0</v>
      </c>
      <c r="V731" s="306">
        <f t="shared" ca="1" si="322"/>
        <v>1.0332878984468667</v>
      </c>
      <c r="W731" s="304">
        <f t="shared" ca="1" si="323"/>
        <v>23.609710958748234</v>
      </c>
      <c r="Y731" s="314" t="str">
        <f t="shared" ca="1" si="341"/>
        <v/>
      </c>
      <c r="Z731" s="315" t="str">
        <f t="shared" ca="1" si="342"/>
        <v/>
      </c>
      <c r="AA731" s="316" t="str">
        <f t="shared" ca="1" si="343"/>
        <v/>
      </c>
      <c r="AC731" s="310" t="e">
        <f t="shared" ca="1" si="344"/>
        <v>#N/A</v>
      </c>
      <c r="AD731" s="323" t="e">
        <f t="shared" ca="1" si="345"/>
        <v>#N/A</v>
      </c>
      <c r="AE731" s="324" t="e">
        <f t="shared" ca="1" si="324"/>
        <v>#N/A</v>
      </c>
      <c r="AG731" s="306">
        <f t="shared" ca="1" si="346"/>
        <v>7.4617338786139777</v>
      </c>
      <c r="AH731" s="304">
        <f t="shared" ca="1" si="347"/>
        <v>-2.1733295929197842</v>
      </c>
    </row>
    <row r="732" spans="1:34" x14ac:dyDescent="0.25">
      <c r="A732" s="347">
        <f t="shared" ca="1" si="325"/>
        <v>0.1</v>
      </c>
      <c r="B732" s="304">
        <f t="shared" ca="1" si="326"/>
        <v>27.800000000000065</v>
      </c>
      <c r="D732" s="306">
        <f t="shared" ca="1" si="327"/>
        <v>-0.41183643433658917</v>
      </c>
      <c r="E732" s="307">
        <f t="shared" ca="1" si="328"/>
        <v>-7.6291707952129926</v>
      </c>
      <c r="F732" s="304">
        <f t="shared" ca="1" si="329"/>
        <v>7.6402785467008938</v>
      </c>
      <c r="G732" s="306">
        <f t="shared" ca="1" si="330"/>
        <v>13.717747643180958</v>
      </c>
      <c r="H732" s="307">
        <f t="shared" ca="1" si="331"/>
        <v>-73.621646115581726</v>
      </c>
      <c r="I732" s="304">
        <f t="shared" ca="1" si="332"/>
        <v>74.888739989199621</v>
      </c>
      <c r="J732" s="306">
        <f t="shared" ca="1" si="333"/>
        <v>486.33447037793786</v>
      </c>
      <c r="K732" s="307">
        <f t="shared" ca="1" si="334"/>
        <v>1690.5294895128477</v>
      </c>
      <c r="L732" s="304">
        <f t="shared" ca="1" si="319"/>
        <v>1759.0938496823751</v>
      </c>
      <c r="M732" s="306">
        <f t="shared" ca="1" si="335"/>
        <v>-1.3865811599507465</v>
      </c>
      <c r="N732" s="304">
        <f t="shared" ca="1" si="336"/>
        <v>-79.4452484175319</v>
      </c>
      <c r="P732" s="310">
        <f t="shared" ca="1" si="337"/>
        <v>23</v>
      </c>
      <c r="Q732" s="304">
        <f t="shared" ca="1" si="338"/>
        <v>0</v>
      </c>
      <c r="R732" s="306">
        <f t="shared" ca="1" si="339"/>
        <v>0</v>
      </c>
      <c r="S732" s="307">
        <f t="shared" ca="1" si="340"/>
        <v>10.637999999999975</v>
      </c>
      <c r="T732" s="304">
        <f t="shared" ca="1" si="320"/>
        <v>104.35877999999975</v>
      </c>
      <c r="U732" s="311">
        <f t="shared" ca="1" si="321"/>
        <v>0</v>
      </c>
      <c r="V732" s="306">
        <f t="shared" ca="1" si="322"/>
        <v>1.0340504313733332</v>
      </c>
      <c r="W732" s="304">
        <f t="shared" ca="1" si="323"/>
        <v>24.102542242880681</v>
      </c>
      <c r="Y732" s="314" t="str">
        <f t="shared" ca="1" si="341"/>
        <v/>
      </c>
      <c r="Z732" s="315" t="str">
        <f t="shared" ca="1" si="342"/>
        <v/>
      </c>
      <c r="AA732" s="316" t="str">
        <f t="shared" ca="1" si="343"/>
        <v/>
      </c>
      <c r="AC732" s="310" t="e">
        <f t="shared" ca="1" si="344"/>
        <v>#N/A</v>
      </c>
      <c r="AD732" s="323" t="e">
        <f t="shared" ca="1" si="345"/>
        <v>#N/A</v>
      </c>
      <c r="AE732" s="324" t="e">
        <f t="shared" ca="1" si="324"/>
        <v>#N/A</v>
      </c>
      <c r="AG732" s="306">
        <f t="shared" ca="1" si="346"/>
        <v>7.4202464356029108</v>
      </c>
      <c r="AH732" s="304">
        <f t="shared" ca="1" si="347"/>
        <v>-2.2193749726215728</v>
      </c>
    </row>
    <row r="733" spans="1:34" x14ac:dyDescent="0.25">
      <c r="A733" s="347">
        <f t="shared" ca="1" si="325"/>
        <v>0.1</v>
      </c>
      <c r="B733" s="304">
        <f t="shared" ca="1" si="326"/>
        <v>27.900000000000066</v>
      </c>
      <c r="D733" s="306">
        <f t="shared" ca="1" si="327"/>
        <v>-0.41502012059816479</v>
      </c>
      <c r="E733" s="307">
        <f t="shared" ca="1" si="328"/>
        <v>-7.5826325600753677</v>
      </c>
      <c r="F733" s="304">
        <f t="shared" ca="1" si="329"/>
        <v>7.5939817119622059</v>
      </c>
      <c r="G733" s="306">
        <f t="shared" ca="1" si="330"/>
        <v>13.676245631121143</v>
      </c>
      <c r="H733" s="307">
        <f t="shared" ca="1" si="331"/>
        <v>-74.379909371589264</v>
      </c>
      <c r="I733" s="304">
        <f t="shared" ca="1" si="332"/>
        <v>75.626785021502755</v>
      </c>
      <c r="J733" s="306">
        <f t="shared" ca="1" si="333"/>
        <v>487.70417004165296</v>
      </c>
      <c r="K733" s="307">
        <f t="shared" ca="1" si="334"/>
        <v>1683.1294117384891</v>
      </c>
      <c r="L733" s="304">
        <f t="shared" ca="1" si="319"/>
        <v>1752.3641100339762</v>
      </c>
      <c r="M733" s="306">
        <f t="shared" ca="1" si="335"/>
        <v>-1.3889572345035028</v>
      </c>
      <c r="N733" s="304">
        <f t="shared" ca="1" si="336"/>
        <v>-79.581387461213282</v>
      </c>
      <c r="P733" s="310">
        <f t="shared" ca="1" si="337"/>
        <v>23</v>
      </c>
      <c r="Q733" s="304">
        <f t="shared" ca="1" si="338"/>
        <v>0</v>
      </c>
      <c r="R733" s="306">
        <f t="shared" ca="1" si="339"/>
        <v>0</v>
      </c>
      <c r="S733" s="307">
        <f t="shared" ca="1" si="340"/>
        <v>10.637999999999975</v>
      </c>
      <c r="T733" s="304">
        <f t="shared" ca="1" si="320"/>
        <v>104.35877999999975</v>
      </c>
      <c r="U733" s="311">
        <f t="shared" ca="1" si="321"/>
        <v>0</v>
      </c>
      <c r="V733" s="306">
        <f t="shared" ca="1" si="322"/>
        <v>1.0348214062898649</v>
      </c>
      <c r="W733" s="304">
        <f t="shared" ca="1" si="323"/>
        <v>24.598281442813725</v>
      </c>
      <c r="Y733" s="314" t="str">
        <f t="shared" ca="1" si="341"/>
        <v/>
      </c>
      <c r="Z733" s="315" t="str">
        <f t="shared" ca="1" si="342"/>
        <v/>
      </c>
      <c r="AA733" s="316" t="str">
        <f t="shared" ca="1" si="343"/>
        <v/>
      </c>
      <c r="AC733" s="310" t="e">
        <f t="shared" ca="1" si="344"/>
        <v>#N/A</v>
      </c>
      <c r="AD733" s="323" t="e">
        <f t="shared" ca="1" si="345"/>
        <v>#N/A</v>
      </c>
      <c r="AE733" s="324" t="e">
        <f t="shared" ca="1" si="324"/>
        <v>#N/A</v>
      </c>
      <c r="AG733" s="306">
        <f t="shared" ca="1" si="346"/>
        <v>7.3783154818846803</v>
      </c>
      <c r="AH733" s="304">
        <f t="shared" ca="1" si="347"/>
        <v>-2.265702410498283</v>
      </c>
    </row>
    <row r="734" spans="1:34" x14ac:dyDescent="0.25">
      <c r="A734" s="347">
        <f t="shared" ca="1" si="325"/>
        <v>0.1</v>
      </c>
      <c r="B734" s="304">
        <f t="shared" ca="1" si="326"/>
        <v>28.000000000000068</v>
      </c>
      <c r="D734" s="306">
        <f t="shared" ca="1" si="327"/>
        <v>-0.41815378677536547</v>
      </c>
      <c r="E734" s="307">
        <f t="shared" ca="1" si="328"/>
        <v>-7.5358202577933024</v>
      </c>
      <c r="F734" s="304">
        <f t="shared" ca="1" si="329"/>
        <v>7.5474127717491699</v>
      </c>
      <c r="G734" s="306">
        <f t="shared" ca="1" si="330"/>
        <v>13.634430252443606</v>
      </c>
      <c r="H734" s="307">
        <f t="shared" ca="1" si="331"/>
        <v>-75.133491397368587</v>
      </c>
      <c r="I734" s="304">
        <f t="shared" ca="1" si="332"/>
        <v>76.360586809343005</v>
      </c>
      <c r="J734" s="306">
        <f t="shared" ca="1" si="333"/>
        <v>489.06970383583121</v>
      </c>
      <c r="K734" s="307">
        <f t="shared" ca="1" si="334"/>
        <v>1675.6537417000413</v>
      </c>
      <c r="L734" s="304">
        <f t="shared" ca="1" si="319"/>
        <v>1745.5671391508884</v>
      </c>
      <c r="M734" s="306">
        <f t="shared" ca="1" si="335"/>
        <v>-1.3912804601577529</v>
      </c>
      <c r="N734" s="304">
        <f t="shared" ca="1" si="336"/>
        <v>-79.714498486058318</v>
      </c>
      <c r="P734" s="310">
        <f t="shared" ca="1" si="337"/>
        <v>23</v>
      </c>
      <c r="Q734" s="304">
        <f t="shared" ca="1" si="338"/>
        <v>0</v>
      </c>
      <c r="R734" s="306">
        <f t="shared" ca="1" si="339"/>
        <v>0</v>
      </c>
      <c r="S734" s="307">
        <f t="shared" ca="1" si="340"/>
        <v>10.637999999999975</v>
      </c>
      <c r="T734" s="304">
        <f t="shared" ca="1" si="320"/>
        <v>104.35877999999975</v>
      </c>
      <c r="U734" s="311">
        <f t="shared" ca="1" si="321"/>
        <v>0</v>
      </c>
      <c r="V734" s="306">
        <f t="shared" ca="1" si="322"/>
        <v>1.0356007912800738</v>
      </c>
      <c r="W734" s="304">
        <f t="shared" ca="1" si="323"/>
        <v>25.096836034346094</v>
      </c>
      <c r="Y734" s="314" t="str">
        <f t="shared" ca="1" si="341"/>
        <v/>
      </c>
      <c r="Z734" s="315" t="str">
        <f t="shared" ca="1" si="342"/>
        <v/>
      </c>
      <c r="AA734" s="316" t="str">
        <f t="shared" ca="1" si="343"/>
        <v/>
      </c>
      <c r="AC734" s="310">
        <f t="shared" ca="1" si="344"/>
        <v>28.000000000000068</v>
      </c>
      <c r="AD734" s="323">
        <f t="shared" ca="1" si="345"/>
        <v>489.06970383583121</v>
      </c>
      <c r="AE734" s="324" t="e">
        <f t="shared" ca="1" si="324"/>
        <v>#N/A</v>
      </c>
      <c r="AG734" s="306">
        <f t="shared" ca="1" si="346"/>
        <v>7.3359571447865415</v>
      </c>
      <c r="AH734" s="304">
        <f t="shared" ca="1" si="347"/>
        <v>-2.3123032001140986</v>
      </c>
    </row>
    <row r="735" spans="1:34" x14ac:dyDescent="0.25">
      <c r="A735" s="347">
        <f t="shared" ca="1" si="325"/>
        <v>0.1</v>
      </c>
      <c r="B735" s="304">
        <f t="shared" ca="1" si="326"/>
        <v>28.100000000000069</v>
      </c>
      <c r="D735" s="306">
        <f t="shared" ca="1" si="327"/>
        <v>-0.42123720722586666</v>
      </c>
      <c r="E735" s="307">
        <f t="shared" ca="1" si="328"/>
        <v>-7.4887426024139163</v>
      </c>
      <c r="F735" s="304">
        <f t="shared" ca="1" si="329"/>
        <v>7.5005804142053298</v>
      </c>
      <c r="G735" s="306">
        <f t="shared" ca="1" si="330"/>
        <v>13.592306531721018</v>
      </c>
      <c r="H735" s="307">
        <f t="shared" ca="1" si="331"/>
        <v>-75.882365657609981</v>
      </c>
      <c r="I735" s="304">
        <f t="shared" ca="1" si="332"/>
        <v>77.090104518332907</v>
      </c>
      <c r="J735" s="306">
        <f t="shared" ca="1" si="333"/>
        <v>490.43104067503941</v>
      </c>
      <c r="K735" s="307">
        <f t="shared" ca="1" si="334"/>
        <v>1668.1029488472925</v>
      </c>
      <c r="L735" s="304">
        <f t="shared" ca="1" si="319"/>
        <v>1738.7035554143883</v>
      </c>
      <c r="M735" s="306">
        <f t="shared" ca="1" si="335"/>
        <v>-1.3935526179287447</v>
      </c>
      <c r="N735" s="304">
        <f t="shared" ca="1" si="336"/>
        <v>-79.844683536724006</v>
      </c>
      <c r="P735" s="310">
        <f t="shared" ca="1" si="337"/>
        <v>23</v>
      </c>
      <c r="Q735" s="304">
        <f t="shared" ca="1" si="338"/>
        <v>0</v>
      </c>
      <c r="R735" s="306">
        <f t="shared" ca="1" si="339"/>
        <v>0</v>
      </c>
      <c r="S735" s="307">
        <f t="shared" ca="1" si="340"/>
        <v>10.637999999999975</v>
      </c>
      <c r="T735" s="304">
        <f t="shared" ca="1" si="320"/>
        <v>104.35877999999975</v>
      </c>
      <c r="U735" s="311">
        <f t="shared" ca="1" si="321"/>
        <v>0</v>
      </c>
      <c r="V735" s="306">
        <f t="shared" ca="1" si="322"/>
        <v>1.036388554211513</v>
      </c>
      <c r="W735" s="304">
        <f t="shared" ca="1" si="323"/>
        <v>25.598113618400699</v>
      </c>
      <c r="Y735" s="314" t="str">
        <f t="shared" ca="1" si="341"/>
        <v/>
      </c>
      <c r="Z735" s="315" t="str">
        <f t="shared" ca="1" si="342"/>
        <v/>
      </c>
      <c r="AA735" s="316" t="str">
        <f t="shared" ca="1" si="343"/>
        <v/>
      </c>
      <c r="AC735" s="310" t="e">
        <f t="shared" ca="1" si="344"/>
        <v>#N/A</v>
      </c>
      <c r="AD735" s="323" t="e">
        <f t="shared" ca="1" si="345"/>
        <v>#N/A</v>
      </c>
      <c r="AE735" s="324" t="e">
        <f t="shared" ca="1" si="324"/>
        <v>#N/A</v>
      </c>
      <c r="AG735" s="306">
        <f t="shared" ca="1" si="346"/>
        <v>7.2931871249813147</v>
      </c>
      <c r="AH735" s="304">
        <f t="shared" ca="1" si="347"/>
        <v>-2.3591686439505688</v>
      </c>
    </row>
    <row r="736" spans="1:34" x14ac:dyDescent="0.25">
      <c r="A736" s="347">
        <f t="shared" ca="1" si="325"/>
        <v>0.1</v>
      </c>
      <c r="B736" s="304">
        <f t="shared" ca="1" si="326"/>
        <v>28.20000000000007</v>
      </c>
      <c r="D736" s="306">
        <f t="shared" ca="1" si="327"/>
        <v>-0.42427017388491201</v>
      </c>
      <c r="E736" s="307">
        <f t="shared" ca="1" si="328"/>
        <v>-7.4414082972438473</v>
      </c>
      <c r="F736" s="304">
        <f t="shared" ca="1" si="329"/>
        <v>7.4534933170116888</v>
      </c>
      <c r="G736" s="306">
        <f t="shared" ca="1" si="330"/>
        <v>13.549879514332527</v>
      </c>
      <c r="H736" s="307">
        <f t="shared" ca="1" si="331"/>
        <v>-76.626506487334368</v>
      </c>
      <c r="I736" s="304">
        <f t="shared" ca="1" si="332"/>
        <v>77.815298825529311</v>
      </c>
      <c r="J736" s="306">
        <f t="shared" ca="1" si="333"/>
        <v>491.78814997734207</v>
      </c>
      <c r="K736" s="307">
        <f t="shared" ca="1" si="334"/>
        <v>1660.4775052400453</v>
      </c>
      <c r="L736" s="304">
        <f t="shared" ca="1" si="319"/>
        <v>1731.7739834823542</v>
      </c>
      <c r="M736" s="306">
        <f t="shared" ca="1" si="335"/>
        <v>-1.3957754103178177</v>
      </c>
      <c r="N736" s="304">
        <f t="shared" ca="1" si="336"/>
        <v>-79.972040159351693</v>
      </c>
      <c r="P736" s="310">
        <f t="shared" ca="1" si="337"/>
        <v>23</v>
      </c>
      <c r="Q736" s="304">
        <f t="shared" ca="1" si="338"/>
        <v>0</v>
      </c>
      <c r="R736" s="306">
        <f t="shared" ca="1" si="339"/>
        <v>0</v>
      </c>
      <c r="S736" s="307">
        <f t="shared" ca="1" si="340"/>
        <v>10.637999999999975</v>
      </c>
      <c r="T736" s="304">
        <f t="shared" ca="1" si="320"/>
        <v>104.35877999999975</v>
      </c>
      <c r="U736" s="311">
        <f t="shared" ca="1" si="321"/>
        <v>0</v>
      </c>
      <c r="V736" s="306">
        <f t="shared" ca="1" si="322"/>
        <v>1.0371846627409784</v>
      </c>
      <c r="W736" s="304">
        <f t="shared" ca="1" si="323"/>
        <v>26.102021950905627</v>
      </c>
      <c r="Y736" s="314" t="str">
        <f t="shared" ca="1" si="341"/>
        <v/>
      </c>
      <c r="Z736" s="315" t="str">
        <f t="shared" ca="1" si="342"/>
        <v/>
      </c>
      <c r="AA736" s="316" t="str">
        <f t="shared" ca="1" si="343"/>
        <v/>
      </c>
      <c r="AC736" s="310" t="e">
        <f t="shared" ca="1" si="344"/>
        <v>#N/A</v>
      </c>
      <c r="AD736" s="323" t="e">
        <f t="shared" ca="1" si="345"/>
        <v>#N/A</v>
      </c>
      <c r="AE736" s="324" t="e">
        <f t="shared" ca="1" si="324"/>
        <v>#N/A</v>
      </c>
      <c r="AG736" s="306">
        <f t="shared" ca="1" si="346"/>
        <v>7.2500207212769583</v>
      </c>
      <c r="AH736" s="304">
        <f t="shared" ca="1" si="347"/>
        <v>-2.4062900562512466</v>
      </c>
    </row>
    <row r="737" spans="1:34" x14ac:dyDescent="0.25">
      <c r="A737" s="347">
        <f t="shared" ca="1" si="325"/>
        <v>0.1</v>
      </c>
      <c r="B737" s="304">
        <f t="shared" ca="1" si="326"/>
        <v>28.300000000000072</v>
      </c>
      <c r="D737" s="306">
        <f t="shared" ca="1" si="327"/>
        <v>-0.42725249594984188</v>
      </c>
      <c r="E737" s="307">
        <f t="shared" ca="1" si="328"/>
        <v>-7.3938260319584064</v>
      </c>
      <c r="F737" s="304">
        <f t="shared" ca="1" si="329"/>
        <v>7.4061601445122127</v>
      </c>
      <c r="G737" s="306">
        <f t="shared" ca="1" si="330"/>
        <v>13.507154264737544</v>
      </c>
      <c r="H737" s="307">
        <f t="shared" ca="1" si="331"/>
        <v>-77.365889090530203</v>
      </c>
      <c r="I737" s="304">
        <f t="shared" ca="1" si="332"/>
        <v>78.536131882717768</v>
      </c>
      <c r="J737" s="306">
        <f t="shared" ca="1" si="333"/>
        <v>493.14100166629555</v>
      </c>
      <c r="K737" s="307">
        <f t="shared" ca="1" si="334"/>
        <v>1652.777885461152</v>
      </c>
      <c r="L737" s="304">
        <f t="shared" ca="1" si="319"/>
        <v>1724.7790543121382</v>
      </c>
      <c r="M737" s="306">
        <f t="shared" ca="1" si="335"/>
        <v>-1.3979504655338293</v>
      </c>
      <c r="N737" s="304">
        <f t="shared" ca="1" si="336"/>
        <v>-80.096661643437074</v>
      </c>
      <c r="P737" s="310">
        <f t="shared" ca="1" si="337"/>
        <v>23</v>
      </c>
      <c r="Q737" s="304">
        <f t="shared" ca="1" si="338"/>
        <v>0</v>
      </c>
      <c r="R737" s="306">
        <f t="shared" ca="1" si="339"/>
        <v>0</v>
      </c>
      <c r="S737" s="307">
        <f t="shared" ca="1" si="340"/>
        <v>10.637999999999975</v>
      </c>
      <c r="T737" s="304">
        <f t="shared" ca="1" si="320"/>
        <v>104.35877999999975</v>
      </c>
      <c r="U737" s="311">
        <f t="shared" ca="1" si="321"/>
        <v>0</v>
      </c>
      <c r="V737" s="306">
        <f t="shared" ca="1" si="322"/>
        <v>1.0379890843198116</v>
      </c>
      <c r="W737" s="304">
        <f t="shared" ca="1" si="323"/>
        <v>26.608468972281553</v>
      </c>
      <c r="Y737" s="314" t="str">
        <f t="shared" ca="1" si="341"/>
        <v/>
      </c>
      <c r="Z737" s="315" t="str">
        <f t="shared" ca="1" si="342"/>
        <v/>
      </c>
      <c r="AA737" s="316" t="str">
        <f t="shared" ca="1" si="343"/>
        <v/>
      </c>
      <c r="AC737" s="310" t="e">
        <f t="shared" ca="1" si="344"/>
        <v>#N/A</v>
      </c>
      <c r="AD737" s="323" t="e">
        <f t="shared" ca="1" si="345"/>
        <v>#N/A</v>
      </c>
      <c r="AE737" s="324" t="e">
        <f t="shared" ca="1" si="324"/>
        <v>#N/A</v>
      </c>
      <c r="AG737" s="306">
        <f t="shared" ca="1" si="346"/>
        <v>7.206472853353457</v>
      </c>
      <c r="AH737" s="304">
        <f t="shared" ca="1" si="347"/>
        <v>-2.453658765830578</v>
      </c>
    </row>
    <row r="738" spans="1:34" x14ac:dyDescent="0.25">
      <c r="A738" s="347">
        <f t="shared" ca="1" si="325"/>
        <v>0.1</v>
      </c>
      <c r="B738" s="304">
        <f t="shared" ca="1" si="326"/>
        <v>28.400000000000073</v>
      </c>
      <c r="D738" s="306">
        <f t="shared" ca="1" si="327"/>
        <v>-0.43018399957441905</v>
      </c>
      <c r="E738" s="307">
        <f t="shared" ca="1" si="328"/>
        <v>-7.346004479753244</v>
      </c>
      <c r="F738" s="304">
        <f t="shared" ca="1" si="329"/>
        <v>7.3585895448818572</v>
      </c>
      <c r="G738" s="306">
        <f t="shared" ca="1" si="330"/>
        <v>13.464135864780102</v>
      </c>
      <c r="H738" s="307">
        <f t="shared" ca="1" si="331"/>
        <v>-78.100489538505528</v>
      </c>
      <c r="I738" s="304">
        <f t="shared" ca="1" si="332"/>
        <v>79.252567281694226</v>
      </c>
      <c r="J738" s="306">
        <f t="shared" ca="1" si="333"/>
        <v>494.48956617277145</v>
      </c>
      <c r="K738" s="307">
        <f t="shared" ca="1" si="334"/>
        <v>1645.0045665297002</v>
      </c>
      <c r="L738" s="304">
        <f t="shared" ca="1" si="319"/>
        <v>1717.7194051873846</v>
      </c>
      <c r="M738" s="306">
        <f t="shared" ca="1" si="335"/>
        <v>-1.4000793414486965</v>
      </c>
      <c r="N738" s="304">
        <f t="shared" ca="1" si="336"/>
        <v>-80.21863724846601</v>
      </c>
      <c r="P738" s="310">
        <f t="shared" ca="1" si="337"/>
        <v>23</v>
      </c>
      <c r="Q738" s="304">
        <f t="shared" ca="1" si="338"/>
        <v>0</v>
      </c>
      <c r="R738" s="306">
        <f t="shared" ca="1" si="339"/>
        <v>0</v>
      </c>
      <c r="S738" s="307">
        <f t="shared" ca="1" si="340"/>
        <v>10.637999999999975</v>
      </c>
      <c r="T738" s="304">
        <f t="shared" ca="1" si="320"/>
        <v>104.35877999999975</v>
      </c>
      <c r="U738" s="311">
        <f t="shared" ca="1" si="321"/>
        <v>0</v>
      </c>
      <c r="V738" s="306">
        <f t="shared" ca="1" si="322"/>
        <v>1.0388017861992105</v>
      </c>
      <c r="W738" s="304">
        <f t="shared" ca="1" si="323"/>
        <v>27.117362836522847</v>
      </c>
      <c r="Y738" s="314" t="str">
        <f t="shared" ca="1" si="341"/>
        <v/>
      </c>
      <c r="Z738" s="315" t="str">
        <f t="shared" ca="1" si="342"/>
        <v/>
      </c>
      <c r="AA738" s="316" t="str">
        <f t="shared" ca="1" si="343"/>
        <v/>
      </c>
      <c r="AC738" s="310" t="e">
        <f t="shared" ca="1" si="344"/>
        <v>#N/A</v>
      </c>
      <c r="AD738" s="323" t="e">
        <f t="shared" ca="1" si="345"/>
        <v>#N/A</v>
      </c>
      <c r="AE738" s="324" t="e">
        <f t="shared" ca="1" si="324"/>
        <v>#N/A</v>
      </c>
      <c r="AG738" s="306">
        <f t="shared" ca="1" si="346"/>
        <v>7.1625580826248836</v>
      </c>
      <c r="AH738" s="304">
        <f t="shared" ca="1" si="347"/>
        <v>-2.5012661188457996</v>
      </c>
    </row>
    <row r="739" spans="1:34" x14ac:dyDescent="0.25">
      <c r="A739" s="347">
        <f t="shared" ca="1" si="325"/>
        <v>0.1</v>
      </c>
      <c r="B739" s="304">
        <f t="shared" ca="1" si="326"/>
        <v>28.500000000000075</v>
      </c>
      <c r="D739" s="306">
        <f t="shared" ca="1" si="327"/>
        <v>-0.43306452757196723</v>
      </c>
      <c r="E739" s="307">
        <f t="shared" ca="1" si="328"/>
        <v>-7.2979522945392787</v>
      </c>
      <c r="F739" s="304">
        <f t="shared" ca="1" si="329"/>
        <v>7.3107901473378556</v>
      </c>
      <c r="G739" s="306">
        <f t="shared" ca="1" si="330"/>
        <v>13.420829412022906</v>
      </c>
      <c r="H739" s="307">
        <f t="shared" ca="1" si="331"/>
        <v>-78.830284767959455</v>
      </c>
      <c r="I739" s="304">
        <f t="shared" ca="1" si="332"/>
        <v>79.964570021380098</v>
      </c>
      <c r="J739" s="306">
        <f t="shared" ca="1" si="333"/>
        <v>495.83381443661159</v>
      </c>
      <c r="K739" s="307">
        <f t="shared" ca="1" si="334"/>
        <v>1637.158027814377</v>
      </c>
      <c r="L739" s="304">
        <f t="shared" ca="1" si="319"/>
        <v>1710.5956797489641</v>
      </c>
      <c r="M739" s="306">
        <f t="shared" ca="1" si="335"/>
        <v>-1.4021635293061192</v>
      </c>
      <c r="N739" s="304">
        <f t="shared" ca="1" si="336"/>
        <v>-80.338052416408743</v>
      </c>
      <c r="P739" s="310">
        <f t="shared" ca="1" si="337"/>
        <v>23</v>
      </c>
      <c r="Q739" s="304">
        <f t="shared" ca="1" si="338"/>
        <v>0</v>
      </c>
      <c r="R739" s="306">
        <f t="shared" ca="1" si="339"/>
        <v>0</v>
      </c>
      <c r="S739" s="307">
        <f t="shared" ca="1" si="340"/>
        <v>10.637999999999975</v>
      </c>
      <c r="T739" s="304">
        <f t="shared" ca="1" si="320"/>
        <v>104.35877999999975</v>
      </c>
      <c r="U739" s="311">
        <f t="shared" ca="1" si="321"/>
        <v>0</v>
      </c>
      <c r="V739" s="306">
        <f t="shared" ca="1" si="322"/>
        <v>1.0396227354355378</v>
      </c>
      <c r="W739" s="304">
        <f t="shared" ca="1" si="323"/>
        <v>27.62861193985978</v>
      </c>
      <c r="Y739" s="314" t="str">
        <f t="shared" ca="1" si="341"/>
        <v/>
      </c>
      <c r="Z739" s="315" t="str">
        <f t="shared" ca="1" si="342"/>
        <v/>
      </c>
      <c r="AA739" s="316" t="str">
        <f t="shared" ca="1" si="343"/>
        <v/>
      </c>
      <c r="AC739" s="310" t="e">
        <f t="shared" ca="1" si="344"/>
        <v>#N/A</v>
      </c>
      <c r="AD739" s="323" t="e">
        <f t="shared" ca="1" si="345"/>
        <v>#N/A</v>
      </c>
      <c r="AE739" s="324" t="e">
        <f t="shared" ca="1" si="324"/>
        <v>#N/A</v>
      </c>
      <c r="AG739" s="306">
        <f t="shared" ca="1" si="346"/>
        <v>7.118290631388005</v>
      </c>
      <c r="AH739" s="304">
        <f t="shared" ca="1" si="347"/>
        <v>-2.5491034815306364</v>
      </c>
    </row>
    <row r="740" spans="1:34" x14ac:dyDescent="0.25">
      <c r="A740" s="347">
        <f t="shared" ca="1" si="325"/>
        <v>0.1</v>
      </c>
      <c r="B740" s="304">
        <f t="shared" ca="1" si="326"/>
        <v>28.600000000000076</v>
      </c>
      <c r="D740" s="306">
        <f t="shared" ca="1" si="327"/>
        <v>-0.43589393912640317</v>
      </c>
      <c r="E740" s="307">
        <f t="shared" ca="1" si="328"/>
        <v>-7.2496781081816408</v>
      </c>
      <c r="F740" s="304">
        <f t="shared" ca="1" si="329"/>
        <v>7.2627705593950349</v>
      </c>
      <c r="G740" s="306">
        <f t="shared" ca="1" si="330"/>
        <v>13.377240018110266</v>
      </c>
      <c r="H740" s="307">
        <f t="shared" ca="1" si="331"/>
        <v>-79.555252578777612</v>
      </c>
      <c r="I740" s="304">
        <f t="shared" ca="1" si="332"/>
        <v>80.672106476620726</v>
      </c>
      <c r="J740" s="306">
        <f t="shared" ca="1" si="333"/>
        <v>497.17371790811825</v>
      </c>
      <c r="K740" s="307">
        <f t="shared" ca="1" si="334"/>
        <v>1629.2387509470402</v>
      </c>
      <c r="L740" s="304">
        <f t="shared" ca="1" si="319"/>
        <v>1703.4085280302118</v>
      </c>
      <c r="M740" s="306">
        <f t="shared" ca="1" si="335"/>
        <v>-1.4042044572010233</v>
      </c>
      <c r="N740" s="304">
        <f t="shared" ca="1" si="336"/>
        <v>-80.45498897107727</v>
      </c>
      <c r="P740" s="310">
        <f t="shared" ca="1" si="337"/>
        <v>23</v>
      </c>
      <c r="Q740" s="304">
        <f t="shared" ca="1" si="338"/>
        <v>0</v>
      </c>
      <c r="R740" s="306">
        <f t="shared" ca="1" si="339"/>
        <v>0</v>
      </c>
      <c r="S740" s="307">
        <f t="shared" ca="1" si="340"/>
        <v>10.637999999999975</v>
      </c>
      <c r="T740" s="304">
        <f t="shared" ca="1" si="320"/>
        <v>104.35877999999975</v>
      </c>
      <c r="U740" s="311">
        <f t="shared" ca="1" si="321"/>
        <v>0</v>
      </c>
      <c r="V740" s="306">
        <f t="shared" ca="1" si="322"/>
        <v>1.0404518988956339</v>
      </c>
      <c r="W740" s="304">
        <f t="shared" ca="1" si="323"/>
        <v>28.142124948990137</v>
      </c>
      <c r="Y740" s="314" t="str">
        <f t="shared" ca="1" si="341"/>
        <v/>
      </c>
      <c r="Z740" s="315" t="str">
        <f t="shared" ca="1" si="342"/>
        <v/>
      </c>
      <c r="AA740" s="316" t="str">
        <f t="shared" ca="1" si="343"/>
        <v/>
      </c>
      <c r="AC740" s="310" t="e">
        <f t="shared" ca="1" si="344"/>
        <v>#N/A</v>
      </c>
      <c r="AD740" s="323" t="e">
        <f t="shared" ca="1" si="345"/>
        <v>#N/A</v>
      </c>
      <c r="AE740" s="324" t="e">
        <f t="shared" ca="1" si="324"/>
        <v>#N/A</v>
      </c>
      <c r="AG740" s="306">
        <f t="shared" ca="1" si="346"/>
        <v>7.0736844004040069</v>
      </c>
      <c r="AH740" s="304">
        <f t="shared" ca="1" si="347"/>
        <v>-2.5971622428896262</v>
      </c>
    </row>
    <row r="741" spans="1:34" x14ac:dyDescent="0.25">
      <c r="A741" s="347">
        <f t="shared" ca="1" si="325"/>
        <v>0.1</v>
      </c>
      <c r="B741" s="304">
        <f t="shared" ca="1" si="326"/>
        <v>28.700000000000077</v>
      </c>
      <c r="D741" s="306">
        <f t="shared" ca="1" si="327"/>
        <v>-0.43867210951035163</v>
      </c>
      <c r="E741" s="307">
        <f t="shared" ca="1" si="328"/>
        <v>-7.2011905277833872</v>
      </c>
      <c r="F741" s="304">
        <f t="shared" ca="1" si="329"/>
        <v>7.2145393641659092</v>
      </c>
      <c r="G741" s="306">
        <f t="shared" ca="1" si="330"/>
        <v>13.333372807159231</v>
      </c>
      <c r="H741" s="307">
        <f t="shared" ca="1" si="331"/>
        <v>-80.275371631555956</v>
      </c>
      <c r="I741" s="304">
        <f t="shared" ca="1" si="332"/>
        <v>81.375144368530073</v>
      </c>
      <c r="J741" s="306">
        <f t="shared" ca="1" si="333"/>
        <v>498.50924854938171</v>
      </c>
      <c r="K741" s="307">
        <f t="shared" ca="1" si="334"/>
        <v>1621.2472197365234</v>
      </c>
      <c r="L741" s="304">
        <f t="shared" ca="1" si="319"/>
        <v>1696.1586064966555</v>
      </c>
      <c r="M741" s="306">
        <f t="shared" ca="1" si="335"/>
        <v>-1.4062034933458758</v>
      </c>
      <c r="N741" s="304">
        <f t="shared" ca="1" si="336"/>
        <v>-80.569525305271426</v>
      </c>
      <c r="P741" s="310">
        <f t="shared" ca="1" si="337"/>
        <v>23</v>
      </c>
      <c r="Q741" s="304">
        <f t="shared" ca="1" si="338"/>
        <v>0</v>
      </c>
      <c r="R741" s="306">
        <f t="shared" ca="1" si="339"/>
        <v>0</v>
      </c>
      <c r="S741" s="307">
        <f t="shared" ca="1" si="340"/>
        <v>10.637999999999975</v>
      </c>
      <c r="T741" s="304">
        <f t="shared" ca="1" si="320"/>
        <v>104.35877999999975</v>
      </c>
      <c r="U741" s="311">
        <f t="shared" ca="1" si="321"/>
        <v>0</v>
      </c>
      <c r="V741" s="306">
        <f t="shared" ca="1" si="322"/>
        <v>1.0412892432621246</v>
      </c>
      <c r="W741" s="304">
        <f t="shared" ca="1" si="323"/>
        <v>28.657810828868701</v>
      </c>
      <c r="Y741" s="314" t="str">
        <f t="shared" ca="1" si="341"/>
        <v/>
      </c>
      <c r="Z741" s="315" t="str">
        <f t="shared" ca="1" si="342"/>
        <v/>
      </c>
      <c r="AA741" s="316" t="str">
        <f t="shared" ca="1" si="343"/>
        <v/>
      </c>
      <c r="AC741" s="310" t="e">
        <f t="shared" ca="1" si="344"/>
        <v>#N/A</v>
      </c>
      <c r="AD741" s="323" t="e">
        <f t="shared" ca="1" si="345"/>
        <v>#N/A</v>
      </c>
      <c r="AE741" s="324" t="e">
        <f t="shared" ca="1" si="324"/>
        <v>#N/A</v>
      </c>
      <c r="AG741" s="306">
        <f t="shared" ca="1" si="346"/>
        <v>7.0287529850465038</v>
      </c>
      <c r="AH741" s="304">
        <f t="shared" ca="1" si="347"/>
        <v>-2.6454338173519649</v>
      </c>
    </row>
    <row r="742" spans="1:34" x14ac:dyDescent="0.25">
      <c r="A742" s="347">
        <f t="shared" ca="1" si="325"/>
        <v>0.1</v>
      </c>
      <c r="B742" s="304">
        <f t="shared" ca="1" si="326"/>
        <v>28.800000000000079</v>
      </c>
      <c r="D742" s="306">
        <f t="shared" ca="1" si="327"/>
        <v>-0.44139892980960105</v>
      </c>
      <c r="E742" s="307">
        <f t="shared" ca="1" si="328"/>
        <v>-7.1524981330146922</v>
      </c>
      <c r="F742" s="304">
        <f t="shared" ca="1" si="329"/>
        <v>7.1661051177062509</v>
      </c>
      <c r="G742" s="306">
        <f t="shared" ca="1" si="330"/>
        <v>13.289232914178271</v>
      </c>
      <c r="H742" s="307">
        <f t="shared" ca="1" si="331"/>
        <v>-80.990621444857425</v>
      </c>
      <c r="I742" s="304">
        <f t="shared" ca="1" si="332"/>
        <v>82.07365273625561</v>
      </c>
      <c r="J742" s="306">
        <f t="shared" ca="1" si="333"/>
        <v>499.84037883544858</v>
      </c>
      <c r="K742" s="307">
        <f t="shared" ca="1" si="334"/>
        <v>1613.1839200827028</v>
      </c>
      <c r="L742" s="304">
        <f t="shared" ca="1" si="319"/>
        <v>1688.8465780904316</v>
      </c>
      <c r="M742" s="306">
        <f t="shared" ca="1" si="335"/>
        <v>-1.4081619491387525</v>
      </c>
      <c r="N742" s="304">
        <f t="shared" ca="1" si="336"/>
        <v>-80.681736556566207</v>
      </c>
      <c r="P742" s="310">
        <f t="shared" ca="1" si="337"/>
        <v>23</v>
      </c>
      <c r="Q742" s="304">
        <f t="shared" ca="1" si="338"/>
        <v>0</v>
      </c>
      <c r="R742" s="306">
        <f t="shared" ca="1" si="339"/>
        <v>0</v>
      </c>
      <c r="S742" s="307">
        <f t="shared" ca="1" si="340"/>
        <v>10.637999999999975</v>
      </c>
      <c r="T742" s="304">
        <f t="shared" ca="1" si="320"/>
        <v>104.35877999999975</v>
      </c>
      <c r="U742" s="311">
        <f t="shared" ca="1" si="321"/>
        <v>0</v>
      </c>
      <c r="V742" s="306">
        <f t="shared" ca="1" si="322"/>
        <v>1.0421347350387284</v>
      </c>
      <c r="W742" s="304">
        <f t="shared" ca="1" si="323"/>
        <v>29.175578870043726</v>
      </c>
      <c r="Y742" s="314" t="str">
        <f t="shared" ca="1" si="341"/>
        <v/>
      </c>
      <c r="Z742" s="315" t="str">
        <f t="shared" ca="1" si="342"/>
        <v/>
      </c>
      <c r="AA742" s="316" t="str">
        <f t="shared" ca="1" si="343"/>
        <v/>
      </c>
      <c r="AC742" s="310" t="e">
        <f t="shared" ca="1" si="344"/>
        <v>#N/A</v>
      </c>
      <c r="AD742" s="323" t="e">
        <f t="shared" ca="1" si="345"/>
        <v>#N/A</v>
      </c>
      <c r="AE742" s="324" t="e">
        <f t="shared" ca="1" si="324"/>
        <v>#N/A</v>
      </c>
      <c r="AG742" s="306">
        <f t="shared" ca="1" si="346"/>
        <v>6.9835096901370601</v>
      </c>
      <c r="AH742" s="304">
        <f t="shared" ca="1" si="347"/>
        <v>-2.6939096473837911</v>
      </c>
    </row>
    <row r="743" spans="1:34" x14ac:dyDescent="0.25">
      <c r="A743" s="347">
        <f t="shared" ca="1" si="325"/>
        <v>0.1</v>
      </c>
      <c r="B743" s="304">
        <f t="shared" ca="1" si="326"/>
        <v>28.90000000000008</v>
      </c>
      <c r="D743" s="306">
        <f t="shared" ca="1" si="327"/>
        <v>-0.44407430665323627</v>
      </c>
      <c r="E743" s="307">
        <f t="shared" ca="1" si="328"/>
        <v>-7.103609473488282</v>
      </c>
      <c r="F743" s="304">
        <f t="shared" ca="1" si="329"/>
        <v>7.1174763464069208</v>
      </c>
      <c r="G743" s="306">
        <f t="shared" ca="1" si="330"/>
        <v>13.244825483512948</v>
      </c>
      <c r="H743" s="307">
        <f t="shared" ca="1" si="331"/>
        <v>-81.700982392206257</v>
      </c>
      <c r="I743" s="304">
        <f t="shared" ca="1" si="332"/>
        <v>82.767601910048782</v>
      </c>
      <c r="J743" s="306">
        <f t="shared" ca="1" si="333"/>
        <v>501.16708175533313</v>
      </c>
      <c r="K743" s="307">
        <f t="shared" ca="1" si="334"/>
        <v>1605.0493398908495</v>
      </c>
      <c r="L743" s="304">
        <f t="shared" ca="1" si="319"/>
        <v>1681.4731122795895</v>
      </c>
      <c r="M743" s="306">
        <f t="shared" ca="1" si="335"/>
        <v>-1.410081082046883</v>
      </c>
      <c r="N743" s="304">
        <f t="shared" ca="1" si="336"/>
        <v>-80.791694772526753</v>
      </c>
      <c r="P743" s="310">
        <f t="shared" ca="1" si="337"/>
        <v>23</v>
      </c>
      <c r="Q743" s="304">
        <f t="shared" ca="1" si="338"/>
        <v>0</v>
      </c>
      <c r="R743" s="306">
        <f t="shared" ca="1" si="339"/>
        <v>0</v>
      </c>
      <c r="S743" s="307">
        <f t="shared" ca="1" si="340"/>
        <v>10.637999999999975</v>
      </c>
      <c r="T743" s="304">
        <f t="shared" ca="1" si="320"/>
        <v>104.35877999999975</v>
      </c>
      <c r="U743" s="311">
        <f t="shared" ca="1" si="321"/>
        <v>0</v>
      </c>
      <c r="V743" s="306">
        <f t="shared" ca="1" si="322"/>
        <v>1.0429883405555578</v>
      </c>
      <c r="W743" s="304">
        <f t="shared" ca="1" si="323"/>
        <v>29.695338715529999</v>
      </c>
      <c r="Y743" s="314" t="str">
        <f t="shared" ca="1" si="341"/>
        <v/>
      </c>
      <c r="Z743" s="315" t="str">
        <f t="shared" ca="1" si="342"/>
        <v/>
      </c>
      <c r="AA743" s="316" t="str">
        <f t="shared" ca="1" si="343"/>
        <v/>
      </c>
      <c r="AC743" s="310" t="e">
        <f t="shared" ca="1" si="344"/>
        <v>#N/A</v>
      </c>
      <c r="AD743" s="323" t="e">
        <f t="shared" ca="1" si="345"/>
        <v>#N/A</v>
      </c>
      <c r="AE743" s="324" t="e">
        <f t="shared" ca="1" si="324"/>
        <v>#N/A</v>
      </c>
      <c r="AG743" s="306">
        <f t="shared" ca="1" si="346"/>
        <v>6.9379675435785124</v>
      </c>
      <c r="AH743" s="304">
        <f t="shared" ca="1" si="347"/>
        <v>-2.7425812060578862</v>
      </c>
    </row>
    <row r="744" spans="1:34" x14ac:dyDescent="0.25">
      <c r="A744" s="347">
        <f t="shared" ca="1" si="325"/>
        <v>0.1</v>
      </c>
      <c r="B744" s="304">
        <f t="shared" ca="1" si="326"/>
        <v>29.000000000000082</v>
      </c>
      <c r="D744" s="306">
        <f t="shared" ca="1" si="327"/>
        <v>-0.44669816194884043</v>
      </c>
      <c r="E744" s="307">
        <f t="shared" ca="1" si="328"/>
        <v>-7.0545330661817616</v>
      </c>
      <c r="F744" s="304">
        <f t="shared" ca="1" si="329"/>
        <v>7.0686615444326035</v>
      </c>
      <c r="G744" s="306">
        <f t="shared" ca="1" si="330"/>
        <v>13.200155667318063</v>
      </c>
      <c r="H744" s="307">
        <f t="shared" ca="1" si="331"/>
        <v>-82.406435698824438</v>
      </c>
      <c r="I744" s="304">
        <f t="shared" ca="1" si="332"/>
        <v>83.45696348553497</v>
      </c>
      <c r="J744" s="306">
        <f t="shared" ca="1" si="333"/>
        <v>502.4893308128747</v>
      </c>
      <c r="K744" s="307">
        <f t="shared" ca="1" si="334"/>
        <v>1596.843968986298</v>
      </c>
      <c r="L744" s="304">
        <f t="shared" ca="1" si="319"/>
        <v>1674.0388851124947</v>
      </c>
      <c r="M744" s="306">
        <f t="shared" ca="1" si="335"/>
        <v>-1.4119620983183347</v>
      </c>
      <c r="N744" s="304">
        <f t="shared" ca="1" si="336"/>
        <v>-80.899469066076378</v>
      </c>
      <c r="P744" s="310">
        <f t="shared" ca="1" si="337"/>
        <v>23</v>
      </c>
      <c r="Q744" s="304">
        <f t="shared" ca="1" si="338"/>
        <v>0</v>
      </c>
      <c r="R744" s="306">
        <f t="shared" ca="1" si="339"/>
        <v>0</v>
      </c>
      <c r="S744" s="307">
        <f t="shared" ca="1" si="340"/>
        <v>10.637999999999975</v>
      </c>
      <c r="T744" s="304">
        <f t="shared" ca="1" si="320"/>
        <v>104.35877999999975</v>
      </c>
      <c r="U744" s="311">
        <f t="shared" ca="1" si="321"/>
        <v>0</v>
      </c>
      <c r="V744" s="306">
        <f t="shared" ca="1" si="322"/>
        <v>1.0438500259744175</v>
      </c>
      <c r="W744" s="304">
        <f t="shared" ca="1" si="323"/>
        <v>30.217000387208795</v>
      </c>
      <c r="Y744" s="314" t="str">
        <f t="shared" ca="1" si="341"/>
        <v/>
      </c>
      <c r="Z744" s="315" t="str">
        <f t="shared" ca="1" si="342"/>
        <v/>
      </c>
      <c r="AA744" s="316" t="str">
        <f t="shared" ca="1" si="343"/>
        <v/>
      </c>
      <c r="AC744" s="310">
        <f t="shared" ca="1" si="344"/>
        <v>29.000000000000082</v>
      </c>
      <c r="AD744" s="323">
        <f t="shared" ca="1" si="345"/>
        <v>502.4893308128747</v>
      </c>
      <c r="AE744" s="324" t="e">
        <f t="shared" ca="1" si="324"/>
        <v>#N/A</v>
      </c>
      <c r="AG744" s="306">
        <f t="shared" ca="1" si="346"/>
        <v>6.8921393088867156</v>
      </c>
      <c r="AH744" s="304">
        <f t="shared" ca="1" si="347"/>
        <v>-2.7914399995798149</v>
      </c>
    </row>
    <row r="745" spans="1:34" x14ac:dyDescent="0.25">
      <c r="A745" s="347">
        <f t="shared" ca="1" si="325"/>
        <v>0.1</v>
      </c>
      <c r="B745" s="304">
        <f t="shared" ca="1" si="326"/>
        <v>29.100000000000083</v>
      </c>
      <c r="D745" s="306">
        <f t="shared" ca="1" si="327"/>
        <v>-0.44927043262222871</v>
      </c>
      <c r="E745" s="307">
        <f t="shared" ca="1" si="328"/>
        <v>-7.0052773929075318</v>
      </c>
      <c r="F745" s="304">
        <f t="shared" ca="1" si="329"/>
        <v>7.0196691712081352</v>
      </c>
      <c r="G745" s="306">
        <f t="shared" ca="1" si="330"/>
        <v>13.155228624055839</v>
      </c>
      <c r="H745" s="307">
        <f t="shared" ca="1" si="331"/>
        <v>-83.106963438115187</v>
      </c>
      <c r="I745" s="304">
        <f t="shared" ca="1" si="332"/>
        <v>84.141710299086455</v>
      </c>
      <c r="J745" s="306">
        <f t="shared" ca="1" si="333"/>
        <v>503.80710002744337</v>
      </c>
      <c r="K745" s="307">
        <f t="shared" ca="1" si="334"/>
        <v>1588.5682990294511</v>
      </c>
      <c r="L745" s="304">
        <f t="shared" ca="1" si="319"/>
        <v>1666.5445792775497</v>
      </c>
      <c r="M745" s="306">
        <f t="shared" ca="1" si="335"/>
        <v>-1.4138061555335251</v>
      </c>
      <c r="N745" s="304">
        <f t="shared" ca="1" si="336"/>
        <v>-81.005125761687424</v>
      </c>
      <c r="P745" s="310">
        <f t="shared" ca="1" si="337"/>
        <v>23</v>
      </c>
      <c r="Q745" s="304">
        <f t="shared" ca="1" si="338"/>
        <v>0</v>
      </c>
      <c r="R745" s="306">
        <f t="shared" ca="1" si="339"/>
        <v>0</v>
      </c>
      <c r="S745" s="307">
        <f t="shared" ca="1" si="340"/>
        <v>10.637999999999975</v>
      </c>
      <c r="T745" s="304">
        <f t="shared" ca="1" si="320"/>
        <v>104.35877999999975</v>
      </c>
      <c r="U745" s="311">
        <f t="shared" ca="1" si="321"/>
        <v>0</v>
      </c>
      <c r="V745" s="306">
        <f t="shared" ca="1" si="322"/>
        <v>1.0447197572940894</v>
      </c>
      <c r="W745" s="304">
        <f t="shared" ca="1" si="323"/>
        <v>30.740474311744709</v>
      </c>
      <c r="Y745" s="314" t="str">
        <f t="shared" ca="1" si="341"/>
        <v/>
      </c>
      <c r="Z745" s="315" t="str">
        <f t="shared" ca="1" si="342"/>
        <v/>
      </c>
      <c r="AA745" s="316" t="str">
        <f t="shared" ca="1" si="343"/>
        <v/>
      </c>
      <c r="AC745" s="310" t="e">
        <f t="shared" ca="1" si="344"/>
        <v>#N/A</v>
      </c>
      <c r="AD745" s="323" t="e">
        <f t="shared" ca="1" si="345"/>
        <v>#N/A</v>
      </c>
      <c r="AE745" s="324" t="e">
        <f t="shared" ca="1" si="324"/>
        <v>#N/A</v>
      </c>
      <c r="AG745" s="306">
        <f t="shared" ca="1" si="346"/>
        <v>6.8460374967123547</v>
      </c>
      <c r="AH745" s="304">
        <f t="shared" ca="1" si="347"/>
        <v>-2.840477569769587</v>
      </c>
    </row>
    <row r="746" spans="1:34" x14ac:dyDescent="0.25">
      <c r="A746" s="347">
        <f t="shared" ca="1" si="325"/>
        <v>0.1</v>
      </c>
      <c r="B746" s="304">
        <f t="shared" ca="1" si="326"/>
        <v>29.200000000000085</v>
      </c>
      <c r="D746" s="306">
        <f t="shared" ca="1" si="327"/>
        <v>-0.45179107036122468</v>
      </c>
      <c r="E746" s="307">
        <f t="shared" ca="1" si="328"/>
        <v>-6.9558508978309774</v>
      </c>
      <c r="F746" s="304">
        <f t="shared" ca="1" si="329"/>
        <v>6.9705076489531343</v>
      </c>
      <c r="G746" s="306">
        <f t="shared" ca="1" si="330"/>
        <v>13.110049517019716</v>
      </c>
      <c r="H746" s="307">
        <f t="shared" ca="1" si="331"/>
        <v>-83.802548527898281</v>
      </c>
      <c r="I746" s="304">
        <f t="shared" ca="1" si="332"/>
        <v>84.821816404209684</v>
      </c>
      <c r="J746" s="306">
        <f t="shared" ca="1" si="333"/>
        <v>505.12036393449716</v>
      </c>
      <c r="K746" s="307">
        <f t="shared" ca="1" si="334"/>
        <v>1580.2228234311503</v>
      </c>
      <c r="L746" s="304">
        <f t="shared" ca="1" si="319"/>
        <v>1658.990884168456</v>
      </c>
      <c r="M746" s="306">
        <f t="shared" ca="1" si="335"/>
        <v>-1.4156143650073707</v>
      </c>
      <c r="N746" s="304">
        <f t="shared" ca="1" si="336"/>
        <v>-81.108728533014357</v>
      </c>
      <c r="P746" s="310">
        <f t="shared" ca="1" si="337"/>
        <v>23</v>
      </c>
      <c r="Q746" s="304">
        <f t="shared" ca="1" si="338"/>
        <v>0</v>
      </c>
      <c r="R746" s="306">
        <f t="shared" ca="1" si="339"/>
        <v>0</v>
      </c>
      <c r="S746" s="307">
        <f t="shared" ca="1" si="340"/>
        <v>10.637999999999975</v>
      </c>
      <c r="T746" s="304">
        <f t="shared" ca="1" si="320"/>
        <v>104.35877999999975</v>
      </c>
      <c r="U746" s="311">
        <f t="shared" ca="1" si="321"/>
        <v>0</v>
      </c>
      <c r="V746" s="306">
        <f t="shared" ca="1" si="322"/>
        <v>1.0455975003556168</v>
      </c>
      <c r="W746" s="304">
        <f t="shared" ca="1" si="323"/>
        <v>31.265671346011366</v>
      </c>
      <c r="Y746" s="314" t="str">
        <f t="shared" ca="1" si="341"/>
        <v/>
      </c>
      <c r="Z746" s="315" t="str">
        <f t="shared" ca="1" si="342"/>
        <v/>
      </c>
      <c r="AA746" s="316" t="str">
        <f t="shared" ca="1" si="343"/>
        <v/>
      </c>
      <c r="AC746" s="310" t="e">
        <f t="shared" ca="1" si="344"/>
        <v>#N/A</v>
      </c>
      <c r="AD746" s="323" t="e">
        <f t="shared" ca="1" si="345"/>
        <v>#N/A</v>
      </c>
      <c r="AE746" s="324" t="e">
        <f t="shared" ca="1" si="324"/>
        <v>#N/A</v>
      </c>
      <c r="AG746" s="306">
        <f t="shared" ca="1" si="346"/>
        <v>6.7996743754366324</v>
      </c>
      <c r="AH746" s="304">
        <f t="shared" ca="1" si="347"/>
        <v>-2.8896854964979113</v>
      </c>
    </row>
    <row r="747" spans="1:34" x14ac:dyDescent="0.25">
      <c r="A747" s="347">
        <f t="shared" ca="1" si="325"/>
        <v>0.1</v>
      </c>
      <c r="B747" s="304">
        <f t="shared" ca="1" si="326"/>
        <v>29.300000000000086</v>
      </c>
      <c r="D747" s="306">
        <f t="shared" ca="1" si="327"/>
        <v>-0.45426004136303666</v>
      </c>
      <c r="E747" s="307">
        <f t="shared" ca="1" si="328"/>
        <v>-6.9062619850374967</v>
      </c>
      <c r="F747" s="304">
        <f t="shared" ca="1" si="329"/>
        <v>6.9211853602654809</v>
      </c>
      <c r="G747" s="306">
        <f t="shared" ca="1" si="330"/>
        <v>13.064623512883413</v>
      </c>
      <c r="H747" s="307">
        <f t="shared" ca="1" si="331"/>
        <v>-84.493174726402032</v>
      </c>
      <c r="I747" s="304">
        <f t="shared" ca="1" si="332"/>
        <v>85.497257048864967</v>
      </c>
      <c r="J747" s="306">
        <f t="shared" ca="1" si="333"/>
        <v>506.42909758599234</v>
      </c>
      <c r="K747" s="307">
        <f t="shared" ca="1" si="334"/>
        <v>1571.8080372684353</v>
      </c>
      <c r="L747" s="304">
        <f t="shared" ca="1" si="319"/>
        <v>1651.378495955247</v>
      </c>
      <c r="M747" s="306">
        <f t="shared" ca="1" si="335"/>
        <v>-1.4173877940520547</v>
      </c>
      <c r="N747" s="304">
        <f t="shared" ca="1" si="336"/>
        <v>-81.210338532540661</v>
      </c>
      <c r="P747" s="310">
        <f t="shared" ca="1" si="337"/>
        <v>23</v>
      </c>
      <c r="Q747" s="304">
        <f t="shared" ca="1" si="338"/>
        <v>0</v>
      </c>
      <c r="R747" s="306">
        <f t="shared" ca="1" si="339"/>
        <v>0</v>
      </c>
      <c r="S747" s="307">
        <f t="shared" ca="1" si="340"/>
        <v>10.637999999999975</v>
      </c>
      <c r="T747" s="304">
        <f t="shared" ca="1" si="320"/>
        <v>104.35877999999975</v>
      </c>
      <c r="U747" s="311">
        <f t="shared" ca="1" si="321"/>
        <v>0</v>
      </c>
      <c r="V747" s="306">
        <f t="shared" ca="1" si="322"/>
        <v>1.0464832208475701</v>
      </c>
      <c r="W747" s="304">
        <f t="shared" ca="1" si="323"/>
        <v>31.792502802016575</v>
      </c>
      <c r="Y747" s="314" t="str">
        <f t="shared" ca="1" si="341"/>
        <v/>
      </c>
      <c r="Z747" s="315" t="str">
        <f t="shared" ca="1" si="342"/>
        <v/>
      </c>
      <c r="AA747" s="316" t="str">
        <f t="shared" ca="1" si="343"/>
        <v/>
      </c>
      <c r="AC747" s="310" t="e">
        <f t="shared" ca="1" si="344"/>
        <v>#N/A</v>
      </c>
      <c r="AD747" s="323" t="e">
        <f t="shared" ca="1" si="345"/>
        <v>#N/A</v>
      </c>
      <c r="AE747" s="324" t="e">
        <f t="shared" ca="1" si="324"/>
        <v>#N/A</v>
      </c>
      <c r="AG747" s="306">
        <f t="shared" ca="1" si="346"/>
        <v>6.753061980917245</v>
      </c>
      <c r="AH747" s="304">
        <f t="shared" ca="1" si="347"/>
        <v>-2.9390554000762776</v>
      </c>
    </row>
    <row r="748" spans="1:34" x14ac:dyDescent="0.25">
      <c r="A748" s="347">
        <f t="shared" ca="1" si="325"/>
        <v>0.1</v>
      </c>
      <c r="B748" s="304">
        <f t="shared" ca="1" si="326"/>
        <v>29.400000000000087</v>
      </c>
      <c r="D748" s="306">
        <f t="shared" ca="1" si="327"/>
        <v>-0.45667732608484907</v>
      </c>
      <c r="E748" s="307">
        <f t="shared" ca="1" si="328"/>
        <v>-6.856519016149047</v>
      </c>
      <c r="F748" s="304">
        <f t="shared" ca="1" si="329"/>
        <v>6.8717106457543382</v>
      </c>
      <c r="G748" s="306">
        <f t="shared" ca="1" si="330"/>
        <v>13.018955780274927</v>
      </c>
      <c r="H748" s="307">
        <f t="shared" ca="1" si="331"/>
        <v>-85.178826628016935</v>
      </c>
      <c r="I748" s="304">
        <f t="shared" ca="1" si="332"/>
        <v>86.168008653644307</v>
      </c>
      <c r="J748" s="306">
        <f t="shared" ca="1" si="333"/>
        <v>507.73327655065026</v>
      </c>
      <c r="K748" s="307">
        <f t="shared" ca="1" si="334"/>
        <v>1563.3244372007143</v>
      </c>
      <c r="L748" s="304">
        <f t="shared" ca="1" si="319"/>
        <v>1643.708117661341</v>
      </c>
      <c r="M748" s="306">
        <f t="shared" ca="1" si="335"/>
        <v>-1.4191274681096608</v>
      </c>
      <c r="N748" s="304">
        <f t="shared" ca="1" si="336"/>
        <v>-81.310014513769886</v>
      </c>
      <c r="P748" s="310">
        <f t="shared" ca="1" si="337"/>
        <v>23</v>
      </c>
      <c r="Q748" s="304">
        <f t="shared" ca="1" si="338"/>
        <v>0</v>
      </c>
      <c r="R748" s="306">
        <f t="shared" ca="1" si="339"/>
        <v>0</v>
      </c>
      <c r="S748" s="307">
        <f t="shared" ca="1" si="340"/>
        <v>10.637999999999975</v>
      </c>
      <c r="T748" s="304">
        <f t="shared" ca="1" si="320"/>
        <v>104.35877999999975</v>
      </c>
      <c r="U748" s="311">
        <f t="shared" ca="1" si="321"/>
        <v>0</v>
      </c>
      <c r="V748" s="306">
        <f t="shared" ca="1" si="322"/>
        <v>1.0473768843113058</v>
      </c>
      <c r="W748" s="304">
        <f t="shared" ca="1" si="323"/>
        <v>32.320880471319796</v>
      </c>
      <c r="Y748" s="314" t="str">
        <f t="shared" ca="1" si="341"/>
        <v/>
      </c>
      <c r="Z748" s="315" t="str">
        <f t="shared" ca="1" si="342"/>
        <v/>
      </c>
      <c r="AA748" s="316" t="str">
        <f t="shared" ca="1" si="343"/>
        <v/>
      </c>
      <c r="AC748" s="310" t="e">
        <f t="shared" ca="1" si="344"/>
        <v>#N/A</v>
      </c>
      <c r="AD748" s="323" t="e">
        <f t="shared" ca="1" si="345"/>
        <v>#N/A</v>
      </c>
      <c r="AE748" s="324" t="e">
        <f t="shared" ca="1" si="324"/>
        <v>#N/A</v>
      </c>
      <c r="AG748" s="306">
        <f t="shared" ca="1" si="346"/>
        <v>6.7062121254546412</v>
      </c>
      <c r="AH748" s="304">
        <f t="shared" ca="1" si="347"/>
        <v>-2.9885789435999857</v>
      </c>
    </row>
    <row r="749" spans="1:34" x14ac:dyDescent="0.25">
      <c r="A749" s="347">
        <f t="shared" ca="1" si="325"/>
        <v>0.1</v>
      </c>
      <c r="B749" s="304">
        <f t="shared" ca="1" si="326"/>
        <v>29.500000000000089</v>
      </c>
      <c r="D749" s="306">
        <f t="shared" ca="1" si="327"/>
        <v>-0.45904291899726607</v>
      </c>
      <c r="E749" s="307">
        <f t="shared" ca="1" si="328"/>
        <v>-6.8066303079907051</v>
      </c>
      <c r="F749" s="304">
        <f t="shared" ca="1" si="329"/>
        <v>6.8220918017232206</v>
      </c>
      <c r="G749" s="306">
        <f t="shared" ca="1" si="330"/>
        <v>12.973051488375202</v>
      </c>
      <c r="H749" s="307">
        <f t="shared" ca="1" si="331"/>
        <v>-85.859489658816003</v>
      </c>
      <c r="I749" s="304">
        <f t="shared" ca="1" si="332"/>
        <v>86.834048790738564</v>
      </c>
      <c r="J749" s="306">
        <f t="shared" ca="1" si="333"/>
        <v>509.03287691408275</v>
      </c>
      <c r="K749" s="307">
        <f t="shared" ca="1" si="334"/>
        <v>1554.7725213863728</v>
      </c>
      <c r="L749" s="304">
        <f t="shared" ca="1" si="319"/>
        <v>1635.9804592468599</v>
      </c>
      <c r="M749" s="306">
        <f t="shared" ca="1" si="335"/>
        <v>-1.420834372763224</v>
      </c>
      <c r="N749" s="304">
        <f t="shared" ca="1" si="336"/>
        <v>-81.407812946450306</v>
      </c>
      <c r="P749" s="310">
        <f t="shared" ca="1" si="337"/>
        <v>23</v>
      </c>
      <c r="Q749" s="304">
        <f t="shared" ca="1" si="338"/>
        <v>0</v>
      </c>
      <c r="R749" s="306">
        <f t="shared" ca="1" si="339"/>
        <v>0</v>
      </c>
      <c r="S749" s="307">
        <f t="shared" ca="1" si="340"/>
        <v>10.637999999999975</v>
      </c>
      <c r="T749" s="304">
        <f t="shared" ca="1" si="320"/>
        <v>104.35877999999975</v>
      </c>
      <c r="U749" s="311">
        <f t="shared" ca="1" si="321"/>
        <v>0</v>
      </c>
      <c r="V749" s="306">
        <f t="shared" ca="1" si="322"/>
        <v>1.0482784561462117</v>
      </c>
      <c r="W749" s="304">
        <f t="shared" ca="1" si="323"/>
        <v>32.850716648934196</v>
      </c>
      <c r="Y749" s="314" t="str">
        <f t="shared" ca="1" si="341"/>
        <v/>
      </c>
      <c r="Z749" s="315" t="str">
        <f t="shared" ca="1" si="342"/>
        <v/>
      </c>
      <c r="AA749" s="316" t="str">
        <f t="shared" ca="1" si="343"/>
        <v/>
      </c>
      <c r="AC749" s="310" t="e">
        <f t="shared" ca="1" si="344"/>
        <v>#N/A</v>
      </c>
      <c r="AD749" s="323" t="e">
        <f t="shared" ca="1" si="345"/>
        <v>#N/A</v>
      </c>
      <c r="AE749" s="324" t="e">
        <f t="shared" ca="1" si="324"/>
        <v>#N/A</v>
      </c>
      <c r="AG749" s="306">
        <f t="shared" ca="1" si="346"/>
        <v>6.6591364060425455</v>
      </c>
      <c r="AH749" s="304">
        <f t="shared" ca="1" si="347"/>
        <v>-3.038247835243455</v>
      </c>
    </row>
    <row r="750" spans="1:34" x14ac:dyDescent="0.25">
      <c r="A750" s="347">
        <f t="shared" ca="1" si="325"/>
        <v>0.1</v>
      </c>
      <c r="B750" s="304">
        <f t="shared" ca="1" si="326"/>
        <v>29.60000000000009</v>
      </c>
      <c r="D750" s="306">
        <f t="shared" ca="1" si="327"/>
        <v>-0.46135682834030672</v>
      </c>
      <c r="E750" s="307">
        <f t="shared" ca="1" si="328"/>
        <v>-6.7566041303078315</v>
      </c>
      <c r="F750" s="304">
        <f t="shared" ca="1" si="329"/>
        <v>6.7723370779036891</v>
      </c>
      <c r="G750" s="306">
        <f t="shared" ca="1" si="330"/>
        <v>12.926915805541171</v>
      </c>
      <c r="H750" s="307">
        <f t="shared" ca="1" si="331"/>
        <v>-86.535150071846786</v>
      </c>
      <c r="I750" s="304">
        <f t="shared" ca="1" si="332"/>
        <v>87.495356163630731</v>
      </c>
      <c r="J750" s="306">
        <f t="shared" ca="1" si="333"/>
        <v>510.32787527877855</v>
      </c>
      <c r="K750" s="307">
        <f t="shared" ca="1" si="334"/>
        <v>1546.1527893998395</v>
      </c>
      <c r="L750" s="304">
        <f t="shared" ca="1" si="319"/>
        <v>1628.1962376984714</v>
      </c>
      <c r="M750" s="306">
        <f t="shared" ca="1" si="335"/>
        <v>-1.4225094556341296</v>
      </c>
      <c r="N750" s="304">
        <f t="shared" ca="1" si="336"/>
        <v>-81.503788125287855</v>
      </c>
      <c r="P750" s="310">
        <f t="shared" ca="1" si="337"/>
        <v>23</v>
      </c>
      <c r="Q750" s="304">
        <f t="shared" ca="1" si="338"/>
        <v>0</v>
      </c>
      <c r="R750" s="306">
        <f t="shared" ca="1" si="339"/>
        <v>0</v>
      </c>
      <c r="S750" s="307">
        <f t="shared" ca="1" si="340"/>
        <v>10.637999999999975</v>
      </c>
      <c r="T750" s="304">
        <f t="shared" ca="1" si="320"/>
        <v>104.35877999999975</v>
      </c>
      <c r="U750" s="311">
        <f t="shared" ca="1" si="321"/>
        <v>0</v>
      </c>
      <c r="V750" s="306">
        <f t="shared" ca="1" si="322"/>
        <v>1.049187901614935</v>
      </c>
      <c r="W750" s="304">
        <f t="shared" ca="1" si="323"/>
        <v>33.38192415670617</v>
      </c>
      <c r="Y750" s="314" t="str">
        <f t="shared" ca="1" si="341"/>
        <v/>
      </c>
      <c r="Z750" s="315" t="str">
        <f t="shared" ca="1" si="342"/>
        <v/>
      </c>
      <c r="AA750" s="316" t="str">
        <f t="shared" ca="1" si="343"/>
        <v/>
      </c>
      <c r="AC750" s="310" t="e">
        <f t="shared" ca="1" si="344"/>
        <v>#N/A</v>
      </c>
      <c r="AD750" s="323" t="e">
        <f t="shared" ca="1" si="345"/>
        <v>#N/A</v>
      </c>
      <c r="AE750" s="324" t="e">
        <f t="shared" ca="1" si="324"/>
        <v>#N/A</v>
      </c>
      <c r="AG750" s="306">
        <f t="shared" ca="1" si="346"/>
        <v>6.6118462119612866</v>
      </c>
      <c r="AH750" s="304">
        <f t="shared" ca="1" si="347"/>
        <v>-3.0880538305070759</v>
      </c>
    </row>
    <row r="751" spans="1:34" x14ac:dyDescent="0.25">
      <c r="A751" s="347">
        <f t="shared" ca="1" si="325"/>
        <v>0.1</v>
      </c>
      <c r="B751" s="304">
        <f t="shared" ca="1" si="326"/>
        <v>29.700000000000092</v>
      </c>
      <c r="D751" s="306">
        <f t="shared" ca="1" si="327"/>
        <v>-0.46361907588165502</v>
      </c>
      <c r="E751" s="307">
        <f t="shared" ca="1" si="328"/>
        <v>-6.7064487035343232</v>
      </c>
      <c r="F751" s="304">
        <f t="shared" ca="1" si="329"/>
        <v>6.722454675240181</v>
      </c>
      <c r="G751" s="306">
        <f t="shared" ca="1" si="330"/>
        <v>12.880553897953005</v>
      </c>
      <c r="H751" s="307">
        <f t="shared" ca="1" si="331"/>
        <v>-87.205794942200214</v>
      </c>
      <c r="I751" s="304">
        <f t="shared" ca="1" si="332"/>
        <v>88.151910587457749</v>
      </c>
      <c r="J751" s="306">
        <f t="shared" ca="1" si="333"/>
        <v>511.61824876395326</v>
      </c>
      <c r="K751" s="307">
        <f t="shared" ca="1" si="334"/>
        <v>1537.4657421491372</v>
      </c>
      <c r="L751" s="304">
        <f t="shared" ca="1" si="319"/>
        <v>1620.3561771260329</v>
      </c>
      <c r="M751" s="306">
        <f t="shared" ca="1" si="335"/>
        <v>-1.4241536281732028</v>
      </c>
      <c r="N751" s="304">
        <f t="shared" ca="1" si="336"/>
        <v>-81.59799227256805</v>
      </c>
      <c r="P751" s="310">
        <f t="shared" ca="1" si="337"/>
        <v>23</v>
      </c>
      <c r="Q751" s="304">
        <f t="shared" ca="1" si="338"/>
        <v>0</v>
      </c>
      <c r="R751" s="306">
        <f t="shared" ca="1" si="339"/>
        <v>0</v>
      </c>
      <c r="S751" s="307">
        <f t="shared" ca="1" si="340"/>
        <v>10.637999999999975</v>
      </c>
      <c r="T751" s="304">
        <f t="shared" ca="1" si="320"/>
        <v>104.35877999999975</v>
      </c>
      <c r="U751" s="311">
        <f t="shared" ca="1" si="321"/>
        <v>0</v>
      </c>
      <c r="V751" s="306">
        <f t="shared" ca="1" si="322"/>
        <v>1.050105185848597</v>
      </c>
      <c r="W751" s="304">
        <f t="shared" ca="1" si="323"/>
        <v>33.914416366166314</v>
      </c>
      <c r="Y751" s="314" t="str">
        <f t="shared" ca="1" si="341"/>
        <v/>
      </c>
      <c r="Z751" s="315" t="str">
        <f t="shared" ca="1" si="342"/>
        <v/>
      </c>
      <c r="AA751" s="316" t="str">
        <f t="shared" ca="1" si="343"/>
        <v/>
      </c>
      <c r="AC751" s="310" t="e">
        <f t="shared" ca="1" si="344"/>
        <v>#N/A</v>
      </c>
      <c r="AD751" s="323" t="e">
        <f t="shared" ca="1" si="345"/>
        <v>#N/A</v>
      </c>
      <c r="AE751" s="324" t="e">
        <f t="shared" ca="1" si="324"/>
        <v>#N/A</v>
      </c>
      <c r="AG751" s="306">
        <f t="shared" ca="1" si="346"/>
        <v>6.5643527317677313</v>
      </c>
      <c r="AH751" s="304">
        <f t="shared" ca="1" si="347"/>
        <v>-3.1379887344149511</v>
      </c>
    </row>
    <row r="752" spans="1:34" x14ac:dyDescent="0.25">
      <c r="A752" s="347">
        <f t="shared" ca="1" si="325"/>
        <v>0.1</v>
      </c>
      <c r="B752" s="304">
        <f t="shared" ca="1" si="326"/>
        <v>29.800000000000093</v>
      </c>
      <c r="D752" s="306">
        <f t="shared" ca="1" si="327"/>
        <v>-0.46582969667693758</v>
      </c>
      <c r="E752" s="307">
        <f t="shared" ca="1" si="328"/>
        <v>-6.6561721966124274</v>
      </c>
      <c r="F752" s="304">
        <f t="shared" ca="1" si="329"/>
        <v>6.6724527437264358</v>
      </c>
      <c r="G752" s="306">
        <f t="shared" ca="1" si="330"/>
        <v>12.833970928285311</v>
      </c>
      <c r="H752" s="307">
        <f t="shared" ca="1" si="331"/>
        <v>-87.871412161861457</v>
      </c>
      <c r="I752" s="304">
        <f t="shared" ca="1" si="332"/>
        <v>88.803692969987495</v>
      </c>
      <c r="J752" s="306">
        <f t="shared" ca="1" si="333"/>
        <v>512.90397500526512</v>
      </c>
      <c r="K752" s="307">
        <f t="shared" ca="1" si="334"/>
        <v>1528.711881793934</v>
      </c>
      <c r="L752" s="304">
        <f t="shared" ca="1" si="319"/>
        <v>1612.4610088663082</v>
      </c>
      <c r="M752" s="306">
        <f t="shared" ca="1" si="335"/>
        <v>-1.4257677673523104</v>
      </c>
      <c r="N752" s="304">
        <f t="shared" ca="1" si="336"/>
        <v>-81.690475635077632</v>
      </c>
      <c r="P752" s="310">
        <f t="shared" ca="1" si="337"/>
        <v>23</v>
      </c>
      <c r="Q752" s="304">
        <f t="shared" ca="1" si="338"/>
        <v>0</v>
      </c>
      <c r="R752" s="306">
        <f t="shared" ca="1" si="339"/>
        <v>0</v>
      </c>
      <c r="S752" s="307">
        <f t="shared" ca="1" si="340"/>
        <v>10.637999999999975</v>
      </c>
      <c r="T752" s="304">
        <f t="shared" ca="1" si="320"/>
        <v>104.35877999999975</v>
      </c>
      <c r="U752" s="311">
        <f t="shared" ca="1" si="321"/>
        <v>0</v>
      </c>
      <c r="V752" s="306">
        <f t="shared" ca="1" si="322"/>
        <v>1.0510302738519883</v>
      </c>
      <c r="W752" s="304">
        <f t="shared" ca="1" si="323"/>
        <v>34.448107220845394</v>
      </c>
      <c r="Y752" s="314" t="str">
        <f t="shared" ca="1" si="341"/>
        <v/>
      </c>
      <c r="Z752" s="315" t="str">
        <f t="shared" ca="1" si="342"/>
        <v/>
      </c>
      <c r="AA752" s="316" t="str">
        <f t="shared" ca="1" si="343"/>
        <v/>
      </c>
      <c r="AC752" s="310" t="e">
        <f t="shared" ca="1" si="344"/>
        <v>#N/A</v>
      </c>
      <c r="AD752" s="323" t="e">
        <f t="shared" ca="1" si="345"/>
        <v>#N/A</v>
      </c>
      <c r="AE752" s="324" t="e">
        <f t="shared" ca="1" si="324"/>
        <v>#N/A</v>
      </c>
      <c r="AG752" s="306">
        <f t="shared" ca="1" si="346"/>
        <v>6.5166669597309559</v>
      </c>
      <c r="AH752" s="304">
        <f t="shared" ca="1" si="347"/>
        <v>-3.1880444036629436</v>
      </c>
    </row>
    <row r="753" spans="1:34" x14ac:dyDescent="0.25">
      <c r="A753" s="347">
        <f t="shared" ca="1" si="325"/>
        <v>0.1</v>
      </c>
      <c r="B753" s="304">
        <f t="shared" ca="1" si="326"/>
        <v>29.900000000000095</v>
      </c>
      <c r="D753" s="306">
        <f t="shared" ca="1" si="327"/>
        <v>-0.46798873883178671</v>
      </c>
      <c r="E753" s="307">
        <f t="shared" ca="1" si="328"/>
        <v>-6.6057827248645724</v>
      </c>
      <c r="F753" s="304">
        <f t="shared" ca="1" si="329"/>
        <v>6.6223393802939894</v>
      </c>
      <c r="G753" s="306">
        <f t="shared" ca="1" si="330"/>
        <v>12.787172054402133</v>
      </c>
      <c r="H753" s="307">
        <f t="shared" ca="1" si="331"/>
        <v>-88.531990434347918</v>
      </c>
      <c r="I753" s="304">
        <f t="shared" ca="1" si="332"/>
        <v>89.450685293162252</v>
      </c>
      <c r="J753" s="306">
        <f t="shared" ca="1" si="333"/>
        <v>514.18503215439955</v>
      </c>
      <c r="K753" s="307">
        <f t="shared" ca="1" si="334"/>
        <v>1519.8917116641235</v>
      </c>
      <c r="L753" s="304">
        <f t="shared" ca="1" si="319"/>
        <v>1604.5114715940549</v>
      </c>
      <c r="M753" s="306">
        <f t="shared" ca="1" si="335"/>
        <v>-1.4273527172627962</v>
      </c>
      <c r="N753" s="304">
        <f t="shared" ca="1" si="336"/>
        <v>-81.7812865756881</v>
      </c>
      <c r="P753" s="310">
        <f t="shared" ca="1" si="337"/>
        <v>23</v>
      </c>
      <c r="Q753" s="304">
        <f t="shared" ca="1" si="338"/>
        <v>0</v>
      </c>
      <c r="R753" s="306">
        <f t="shared" ca="1" si="339"/>
        <v>0</v>
      </c>
      <c r="S753" s="307">
        <f t="shared" ca="1" si="340"/>
        <v>10.637999999999975</v>
      </c>
      <c r="T753" s="304">
        <f t="shared" ca="1" si="320"/>
        <v>104.35877999999975</v>
      </c>
      <c r="U753" s="311">
        <f t="shared" ca="1" si="321"/>
        <v>0</v>
      </c>
      <c r="V753" s="306">
        <f t="shared" ca="1" si="322"/>
        <v>1.051963130508748</v>
      </c>
      <c r="W753" s="304">
        <f t="shared" ca="1" si="323"/>
        <v>34.982911258050365</v>
      </c>
      <c r="Y753" s="314" t="str">
        <f t="shared" ca="1" si="341"/>
        <v/>
      </c>
      <c r="Z753" s="315" t="str">
        <f t="shared" ca="1" si="342"/>
        <v/>
      </c>
      <c r="AA753" s="316" t="str">
        <f t="shared" ca="1" si="343"/>
        <v/>
      </c>
      <c r="AC753" s="310" t="e">
        <f t="shared" ca="1" si="344"/>
        <v>#N/A</v>
      </c>
      <c r="AD753" s="323" t="e">
        <f t="shared" ca="1" si="345"/>
        <v>#N/A</v>
      </c>
      <c r="AE753" s="324" t="e">
        <f t="shared" ca="1" si="324"/>
        <v>#N/A</v>
      </c>
      <c r="AG753" s="306">
        <f t="shared" ca="1" si="346"/>
        <v>6.4687997017589343</v>
      </c>
      <c r="AH753" s="304">
        <f t="shared" ca="1" si="347"/>
        <v>-3.2382127487164385</v>
      </c>
    </row>
    <row r="754" spans="1:34" x14ac:dyDescent="0.25">
      <c r="A754" s="347">
        <f t="shared" ca="1" si="325"/>
        <v>0.1</v>
      </c>
      <c r="B754" s="304">
        <f t="shared" ca="1" si="326"/>
        <v>30.000000000000096</v>
      </c>
      <c r="D754" s="306">
        <f t="shared" ca="1" si="327"/>
        <v>-0.47009626326551407</v>
      </c>
      <c r="E754" s="307">
        <f t="shared" ca="1" si="328"/>
        <v>-6.5552883479175872</v>
      </c>
      <c r="F754" s="304">
        <f t="shared" ca="1" si="329"/>
        <v>6.5721226267531172</v>
      </c>
      <c r="G754" s="306">
        <f t="shared" ca="1" si="330"/>
        <v>12.740162428075582</v>
      </c>
      <c r="H754" s="307">
        <f t="shared" ca="1" si="331"/>
        <v>-89.187519269139671</v>
      </c>
      <c r="I754" s="304">
        <f t="shared" ca="1" si="332"/>
        <v>90.092870595163674</v>
      </c>
      <c r="J754" s="306">
        <f t="shared" ca="1" si="333"/>
        <v>515.46139887852348</v>
      </c>
      <c r="K754" s="307">
        <f t="shared" ca="1" si="334"/>
        <v>1511.0057361789491</v>
      </c>
      <c r="L754" s="304">
        <f t="shared" ca="1" si="319"/>
        <v>1596.5083114407805</v>
      </c>
      <c r="M754" s="306">
        <f t="shared" ca="1" si="335"/>
        <v>-1.4289092906266259</v>
      </c>
      <c r="N754" s="304">
        <f t="shared" ca="1" si="336"/>
        <v>-81.870471659938019</v>
      </c>
      <c r="P754" s="310">
        <f t="shared" ca="1" si="337"/>
        <v>23</v>
      </c>
      <c r="Q754" s="304">
        <f t="shared" ca="1" si="338"/>
        <v>0</v>
      </c>
      <c r="R754" s="306">
        <f t="shared" ca="1" si="339"/>
        <v>0</v>
      </c>
      <c r="S754" s="307">
        <f t="shared" ca="1" si="340"/>
        <v>10.637999999999975</v>
      </c>
      <c r="T754" s="304">
        <f t="shared" ca="1" si="320"/>
        <v>104.35877999999975</v>
      </c>
      <c r="U754" s="311">
        <f t="shared" ca="1" si="321"/>
        <v>0</v>
      </c>
      <c r="V754" s="306">
        <f t="shared" ca="1" si="322"/>
        <v>1.0529037205865202</v>
      </c>
      <c r="W754" s="304">
        <f t="shared" ca="1" si="323"/>
        <v>35.518743630095031</v>
      </c>
      <c r="Y754" s="314" t="str">
        <f t="shared" ca="1" si="341"/>
        <v/>
      </c>
      <c r="Z754" s="315" t="str">
        <f t="shared" ca="1" si="342"/>
        <v/>
      </c>
      <c r="AA754" s="316" t="str">
        <f t="shared" ca="1" si="343"/>
        <v/>
      </c>
      <c r="AC754" s="310">
        <f t="shared" ca="1" si="344"/>
        <v>30.000000000000096</v>
      </c>
      <c r="AD754" s="323">
        <f t="shared" ca="1" si="345"/>
        <v>515.46139887852348</v>
      </c>
      <c r="AE754" s="324" t="e">
        <f t="shared" ca="1" si="324"/>
        <v>#N/A</v>
      </c>
      <c r="AG754" s="306">
        <f t="shared" ca="1" si="346"/>
        <v>6.4207615808576488</v>
      </c>
      <c r="AH754" s="304">
        <f t="shared" ca="1" si="347"/>
        <v>-3.2884857358573458</v>
      </c>
    </row>
    <row r="755" spans="1:34" x14ac:dyDescent="0.25">
      <c r="A755" s="347">
        <f t="shared" ca="1" si="325"/>
        <v>0.1</v>
      </c>
      <c r="B755" s="304">
        <f t="shared" ca="1" si="326"/>
        <v>30.100000000000097</v>
      </c>
      <c r="D755" s="306">
        <f t="shared" ca="1" si="327"/>
        <v>-0.47215234347622292</v>
      </c>
      <c r="E755" s="307">
        <f t="shared" ca="1" si="328"/>
        <v>-6.5046970676797029</v>
      </c>
      <c r="F755" s="304">
        <f t="shared" ca="1" si="329"/>
        <v>6.5218104677866107</v>
      </c>
      <c r="G755" s="306">
        <f t="shared" ca="1" si="330"/>
        <v>12.69294719372796</v>
      </c>
      <c r="H755" s="307">
        <f t="shared" ca="1" si="331"/>
        <v>-89.837988975907635</v>
      </c>
      <c r="I755" s="304">
        <f t="shared" ca="1" si="332"/>
        <v>90.730232952958232</v>
      </c>
      <c r="J755" s="306">
        <f t="shared" ca="1" si="333"/>
        <v>516.73305435961367</v>
      </c>
      <c r="K755" s="307">
        <f t="shared" ca="1" si="334"/>
        <v>1502.0544607666966</v>
      </c>
      <c r="L755" s="304">
        <f t="shared" ca="1" si="319"/>
        <v>1588.452282121483</v>
      </c>
      <c r="M755" s="306">
        <f t="shared" ca="1" si="335"/>
        <v>-1.4304382702257044</v>
      </c>
      <c r="N755" s="304">
        <f t="shared" ca="1" si="336"/>
        <v>-81.958075737926833</v>
      </c>
      <c r="P755" s="310">
        <f t="shared" ca="1" si="337"/>
        <v>23</v>
      </c>
      <c r="Q755" s="304">
        <f t="shared" ca="1" si="338"/>
        <v>0</v>
      </c>
      <c r="R755" s="306">
        <f t="shared" ca="1" si="339"/>
        <v>0</v>
      </c>
      <c r="S755" s="307">
        <f t="shared" ca="1" si="340"/>
        <v>10.637999999999975</v>
      </c>
      <c r="T755" s="304">
        <f t="shared" ca="1" si="320"/>
        <v>104.35877999999975</v>
      </c>
      <c r="U755" s="311">
        <f t="shared" ca="1" si="321"/>
        <v>0</v>
      </c>
      <c r="V755" s="306">
        <f t="shared" ca="1" si="322"/>
        <v>1.05385200874209</v>
      </c>
      <c r="W755" s="304">
        <f t="shared" ca="1" si="323"/>
        <v>36.055520124981015</v>
      </c>
      <c r="Y755" s="314" t="str">
        <f t="shared" ca="1" si="341"/>
        <v/>
      </c>
      <c r="Z755" s="315" t="str">
        <f t="shared" ca="1" si="342"/>
        <v/>
      </c>
      <c r="AA755" s="316" t="str">
        <f t="shared" ca="1" si="343"/>
        <v/>
      </c>
      <c r="AC755" s="310" t="e">
        <f t="shared" ca="1" si="344"/>
        <v>#N/A</v>
      </c>
      <c r="AD755" s="323" t="e">
        <f t="shared" ca="1" si="345"/>
        <v>#N/A</v>
      </c>
      <c r="AE755" s="324" t="e">
        <f t="shared" ca="1" si="324"/>
        <v>#N/A</v>
      </c>
      <c r="AG755" s="306">
        <f t="shared" ca="1" si="346"/>
        <v>6.3725630421608077</v>
      </c>
      <c r="AH755" s="304">
        <f t="shared" ca="1" si="347"/>
        <v>-3.3388553891798378</v>
      </c>
    </row>
    <row r="756" spans="1:34" x14ac:dyDescent="0.25">
      <c r="A756" s="347">
        <f t="shared" ca="1" si="325"/>
        <v>0.1</v>
      </c>
      <c r="B756" s="304">
        <f t="shared" ca="1" si="326"/>
        <v>30.200000000000099</v>
      </c>
      <c r="D756" s="306">
        <f t="shared" ca="1" si="327"/>
        <v>-0.47415706530719864</v>
      </c>
      <c r="E756" s="307">
        <f t="shared" ca="1" si="328"/>
        <v>-6.4540168263706565</v>
      </c>
      <c r="F756" s="304">
        <f t="shared" ca="1" si="329"/>
        <v>6.471410828996742</v>
      </c>
      <c r="G756" s="306">
        <f t="shared" ca="1" si="330"/>
        <v>12.645531487197241</v>
      </c>
      <c r="H756" s="307">
        <f t="shared" ca="1" si="331"/>
        <v>-90.483390658544707</v>
      </c>
      <c r="I756" s="304">
        <f t="shared" ca="1" si="332"/>
        <v>91.362757465285114</v>
      </c>
      <c r="J756" s="306">
        <f t="shared" ca="1" si="333"/>
        <v>517.99997829365998</v>
      </c>
      <c r="K756" s="307">
        <f t="shared" ca="1" si="334"/>
        <v>1493.038391784974</v>
      </c>
      <c r="L756" s="304">
        <f t="shared" ca="1" si="319"/>
        <v>1580.3441450697039</v>
      </c>
      <c r="M756" s="306">
        <f t="shared" ca="1" si="335"/>
        <v>-1.4319404102544389</v>
      </c>
      <c r="N756" s="304">
        <f t="shared" ca="1" si="336"/>
        <v>-82.04414202181097</v>
      </c>
      <c r="P756" s="310">
        <f t="shared" ca="1" si="337"/>
        <v>23</v>
      </c>
      <c r="Q756" s="304">
        <f t="shared" ca="1" si="338"/>
        <v>0</v>
      </c>
      <c r="R756" s="306">
        <f t="shared" ca="1" si="339"/>
        <v>0</v>
      </c>
      <c r="S756" s="307">
        <f t="shared" ca="1" si="340"/>
        <v>10.637999999999975</v>
      </c>
      <c r="T756" s="304">
        <f t="shared" ca="1" si="320"/>
        <v>104.35877999999975</v>
      </c>
      <c r="U756" s="311">
        <f t="shared" ca="1" si="321"/>
        <v>0</v>
      </c>
      <c r="V756" s="306">
        <f t="shared" ca="1" si="322"/>
        <v>1.0548079595264985</v>
      </c>
      <c r="W756" s="304">
        <f t="shared" ca="1" si="323"/>
        <v>36.593157186525012</v>
      </c>
      <c r="Y756" s="314" t="str">
        <f t="shared" ca="1" si="341"/>
        <v/>
      </c>
      <c r="Z756" s="315" t="str">
        <f t="shared" ca="1" si="342"/>
        <v/>
      </c>
      <c r="AA756" s="316" t="str">
        <f t="shared" ca="1" si="343"/>
        <v/>
      </c>
      <c r="AC756" s="310" t="e">
        <f t="shared" ca="1" si="344"/>
        <v>#N/A</v>
      </c>
      <c r="AD756" s="323" t="e">
        <f t="shared" ca="1" si="345"/>
        <v>#N/A</v>
      </c>
      <c r="AE756" s="324" t="e">
        <f t="shared" ca="1" si="324"/>
        <v>#N/A</v>
      </c>
      <c r="AG756" s="306">
        <f t="shared" ca="1" si="346"/>
        <v>6.3242143575651824</v>
      </c>
      <c r="AH756" s="304">
        <f t="shared" ca="1" si="347"/>
        <v>-3.3893137925344146</v>
      </c>
    </row>
    <row r="757" spans="1:34" x14ac:dyDescent="0.25">
      <c r="A757" s="347">
        <f t="shared" ca="1" si="325"/>
        <v>0.1</v>
      </c>
      <c r="B757" s="304">
        <f t="shared" ca="1" si="326"/>
        <v>30.3000000000001</v>
      </c>
      <c r="D757" s="306">
        <f t="shared" ca="1" si="327"/>
        <v>-0.47611052671447096</v>
      </c>
      <c r="E757" s="307">
        <f t="shared" ca="1" si="328"/>
        <v>-6.4032555046051902</v>
      </c>
      <c r="F757" s="304">
        <f t="shared" ca="1" si="329"/>
        <v>6.4209315750056861</v>
      </c>
      <c r="G757" s="306">
        <f t="shared" ca="1" si="330"/>
        <v>12.597920434525793</v>
      </c>
      <c r="H757" s="307">
        <f t="shared" ca="1" si="331"/>
        <v>-91.123716209005224</v>
      </c>
      <c r="I757" s="304">
        <f t="shared" ca="1" si="332"/>
        <v>91.990430236052077</v>
      </c>
      <c r="J757" s="306">
        <f t="shared" ca="1" si="333"/>
        <v>519.26215088974618</v>
      </c>
      <c r="K757" s="307">
        <f t="shared" ca="1" si="334"/>
        <v>1483.9580364415965</v>
      </c>
      <c r="L757" s="304">
        <f t="shared" ca="1" si="319"/>
        <v>1572.184669581231</v>
      </c>
      <c r="M757" s="306">
        <f t="shared" ca="1" si="335"/>
        <v>-1.433416437600272</v>
      </c>
      <c r="N757" s="304">
        <f t="shared" ca="1" si="336"/>
        <v>-82.128712159173119</v>
      </c>
      <c r="P757" s="310">
        <f t="shared" ca="1" si="337"/>
        <v>23</v>
      </c>
      <c r="Q757" s="304">
        <f t="shared" ca="1" si="338"/>
        <v>0</v>
      </c>
      <c r="R757" s="306">
        <f t="shared" ca="1" si="339"/>
        <v>0</v>
      </c>
      <c r="S757" s="307">
        <f t="shared" ca="1" si="340"/>
        <v>10.637999999999975</v>
      </c>
      <c r="T757" s="304">
        <f t="shared" ca="1" si="320"/>
        <v>104.35877999999975</v>
      </c>
      <c r="U757" s="311">
        <f t="shared" ca="1" si="321"/>
        <v>0</v>
      </c>
      <c r="V757" s="306">
        <f t="shared" ca="1" si="322"/>
        <v>1.0557715373901331</v>
      </c>
      <c r="W757" s="304">
        <f t="shared" ca="1" si="323"/>
        <v>37.131571933928747</v>
      </c>
      <c r="Y757" s="314" t="str">
        <f t="shared" ca="1" si="341"/>
        <v/>
      </c>
      <c r="Z757" s="315" t="str">
        <f t="shared" ca="1" si="342"/>
        <v/>
      </c>
      <c r="AA757" s="316" t="str">
        <f t="shared" ca="1" si="343"/>
        <v/>
      </c>
      <c r="AC757" s="310" t="e">
        <f t="shared" ca="1" si="344"/>
        <v>#N/A</v>
      </c>
      <c r="AD757" s="323" t="e">
        <f t="shared" ca="1" si="345"/>
        <v>#N/A</v>
      </c>
      <c r="AE757" s="324" t="e">
        <f t="shared" ca="1" si="324"/>
        <v>#N/A</v>
      </c>
      <c r="AG757" s="306">
        <f t="shared" ca="1" si="346"/>
        <v>6.2757256300038362</v>
      </c>
      <c r="AH757" s="304">
        <f t="shared" ca="1" si="347"/>
        <v>-3.439853091419919</v>
      </c>
    </row>
    <row r="758" spans="1:34" x14ac:dyDescent="0.25">
      <c r="A758" s="347">
        <f t="shared" ca="1" si="325"/>
        <v>0.1</v>
      </c>
      <c r="B758" s="304">
        <f t="shared" ca="1" si="326"/>
        <v>30.400000000000102</v>
      </c>
      <c r="D758" s="306">
        <f t="shared" ca="1" si="327"/>
        <v>-0.47801283753542689</v>
      </c>
      <c r="E758" s="307">
        <f t="shared" ca="1" si="328"/>
        <v>-6.3524209195301911</v>
      </c>
      <c r="F758" s="304">
        <f t="shared" ca="1" si="329"/>
        <v>6.3703805076096884</v>
      </c>
      <c r="G758" s="306">
        <f t="shared" ca="1" si="330"/>
        <v>12.55011915077225</v>
      </c>
      <c r="H758" s="307">
        <f t="shared" ca="1" si="331"/>
        <v>-91.758958300958241</v>
      </c>
      <c r="I758" s="304">
        <f t="shared" ca="1" si="332"/>
        <v>92.613238358107168</v>
      </c>
      <c r="J758" s="306">
        <f t="shared" ca="1" si="333"/>
        <v>520.51955286901114</v>
      </c>
      <c r="K758" s="307">
        <f t="shared" ca="1" si="334"/>
        <v>1474.8139027160983</v>
      </c>
      <c r="L758" s="304">
        <f t="shared" ca="1" si="319"/>
        <v>1563.9746329668023</v>
      </c>
      <c r="M758" s="306">
        <f t="shared" ca="1" si="335"/>
        <v>-1.4348670530565841</v>
      </c>
      <c r="N758" s="304">
        <f t="shared" ca="1" si="336"/>
        <v>-82.211826302516243</v>
      </c>
      <c r="P758" s="310">
        <f t="shared" ca="1" si="337"/>
        <v>23</v>
      </c>
      <c r="Q758" s="304">
        <f t="shared" ca="1" si="338"/>
        <v>0</v>
      </c>
      <c r="R758" s="306">
        <f t="shared" ca="1" si="339"/>
        <v>0</v>
      </c>
      <c r="S758" s="307">
        <f t="shared" ca="1" si="340"/>
        <v>10.637999999999975</v>
      </c>
      <c r="T758" s="304">
        <f t="shared" ca="1" si="320"/>
        <v>104.35877999999975</v>
      </c>
      <c r="U758" s="311">
        <f t="shared" ca="1" si="321"/>
        <v>0</v>
      </c>
      <c r="V758" s="306">
        <f t="shared" ca="1" si="322"/>
        <v>1.0567427066877895</v>
      </c>
      <c r="W758" s="304">
        <f t="shared" ca="1" si="323"/>
        <v>37.67068218078839</v>
      </c>
      <c r="Y758" s="314" t="str">
        <f t="shared" ca="1" si="341"/>
        <v/>
      </c>
      <c r="Z758" s="315" t="str">
        <f t="shared" ca="1" si="342"/>
        <v/>
      </c>
      <c r="AA758" s="316" t="str">
        <f t="shared" ca="1" si="343"/>
        <v/>
      </c>
      <c r="AC758" s="310" t="e">
        <f t="shared" ca="1" si="344"/>
        <v>#N/A</v>
      </c>
      <c r="AD758" s="323" t="e">
        <f t="shared" ca="1" si="345"/>
        <v>#N/A</v>
      </c>
      <c r="AE758" s="324" t="e">
        <f t="shared" ca="1" si="324"/>
        <v>#N/A</v>
      </c>
      <c r="AG758" s="306">
        <f t="shared" ca="1" si="346"/>
        <v>6.2271067973868846</v>
      </c>
      <c r="AH758" s="304">
        <f t="shared" ca="1" si="347"/>
        <v>-3.4904654948231655</v>
      </c>
    </row>
    <row r="759" spans="1:34" x14ac:dyDescent="0.25">
      <c r="A759" s="347">
        <f t="shared" ca="1" si="325"/>
        <v>0.1</v>
      </c>
      <c r="B759" s="304">
        <f t="shared" ca="1" si="326"/>
        <v>30.500000000000103</v>
      </c>
      <c r="D759" s="306">
        <f t="shared" ca="1" si="327"/>
        <v>-0.47986411925838346</v>
      </c>
      <c r="E759" s="307">
        <f t="shared" ca="1" si="328"/>
        <v>-6.3015208230157231</v>
      </c>
      <c r="F759" s="304">
        <f t="shared" ca="1" si="329"/>
        <v>6.3197653639872096</v>
      </c>
      <c r="G759" s="306">
        <f t="shared" ca="1" si="330"/>
        <v>12.502132738846411</v>
      </c>
      <c r="H759" s="307">
        <f t="shared" ca="1" si="331"/>
        <v>-92.389110383259819</v>
      </c>
      <c r="I759" s="304">
        <f t="shared" ca="1" si="332"/>
        <v>93.231169897357304</v>
      </c>
      <c r="J759" s="306">
        <f t="shared" ca="1" si="333"/>
        <v>521.77216546349212</v>
      </c>
      <c r="K759" s="307">
        <f t="shared" ca="1" si="334"/>
        <v>1465.6064992818874</v>
      </c>
      <c r="L759" s="304">
        <f t="shared" ca="1" si="319"/>
        <v>1555.7148207141856</v>
      </c>
      <c r="M759" s="306">
        <f t="shared" ca="1" si="335"/>
        <v>-1.436292932472057</v>
      </c>
      <c r="N759" s="304">
        <f t="shared" ca="1" si="336"/>
        <v>-82.293523175117414</v>
      </c>
      <c r="P759" s="310">
        <f t="shared" ca="1" si="337"/>
        <v>23</v>
      </c>
      <c r="Q759" s="304">
        <f t="shared" ca="1" si="338"/>
        <v>0</v>
      </c>
      <c r="R759" s="306">
        <f t="shared" ca="1" si="339"/>
        <v>0</v>
      </c>
      <c r="S759" s="307">
        <f t="shared" ca="1" si="340"/>
        <v>10.637999999999975</v>
      </c>
      <c r="T759" s="304">
        <f t="shared" ca="1" si="320"/>
        <v>104.35877999999975</v>
      </c>
      <c r="U759" s="311">
        <f t="shared" ca="1" si="321"/>
        <v>0</v>
      </c>
      <c r="V759" s="306">
        <f t="shared" ca="1" si="322"/>
        <v>1.0577214316837149</v>
      </c>
      <c r="W759" s="304">
        <f t="shared" ca="1" si="323"/>
        <v>38.210406453541154</v>
      </c>
      <c r="Y759" s="314" t="str">
        <f t="shared" ca="1" si="341"/>
        <v/>
      </c>
      <c r="Z759" s="315" t="str">
        <f t="shared" ca="1" si="342"/>
        <v/>
      </c>
      <c r="AA759" s="316" t="str">
        <f t="shared" ca="1" si="343"/>
        <v/>
      </c>
      <c r="AC759" s="310" t="e">
        <f t="shared" ca="1" si="344"/>
        <v>#N/A</v>
      </c>
      <c r="AD759" s="323" t="e">
        <f t="shared" ca="1" si="345"/>
        <v>#N/A</v>
      </c>
      <c r="AE759" s="324" t="e">
        <f t="shared" ca="1" si="324"/>
        <v>#N/A</v>
      </c>
      <c r="AG759" s="306">
        <f t="shared" ca="1" si="346"/>
        <v>6.1783676362371542</v>
      </c>
      <c r="AH759" s="304">
        <f t="shared" ca="1" si="347"/>
        <v>-3.5411432770058733</v>
      </c>
    </row>
    <row r="760" spans="1:34" x14ac:dyDescent="0.25">
      <c r="A760" s="347">
        <f t="shared" ca="1" si="325"/>
        <v>0.1</v>
      </c>
      <c r="B760" s="304">
        <f t="shared" ca="1" si="326"/>
        <v>30.600000000000104</v>
      </c>
      <c r="D760" s="306">
        <f t="shared" ca="1" si="327"/>
        <v>-0.48166450479305478</v>
      </c>
      <c r="E760" s="307">
        <f t="shared" ca="1" si="328"/>
        <v>-6.2505628999000811</v>
      </c>
      <c r="F760" s="304">
        <f t="shared" ca="1" si="329"/>
        <v>6.2690938149612059</v>
      </c>
      <c r="G760" s="306">
        <f t="shared" ca="1" si="330"/>
        <v>12.453966288367106</v>
      </c>
      <c r="H760" s="307">
        <f t="shared" ca="1" si="331"/>
        <v>-93.014166673249832</v>
      </c>
      <c r="I760" s="304">
        <f t="shared" ca="1" si="332"/>
        <v>93.844213877206542</v>
      </c>
      <c r="J760" s="306">
        <f t="shared" ca="1" si="333"/>
        <v>523.01997041485276</v>
      </c>
      <c r="K760" s="307">
        <f t="shared" ca="1" si="334"/>
        <v>1456.3363354290618</v>
      </c>
      <c r="L760" s="304">
        <f t="shared" ca="1" si="319"/>
        <v>1547.4060266600045</v>
      </c>
      <c r="M760" s="306">
        <f t="shared" ca="1" si="335"/>
        <v>-1.4376947278403203</v>
      </c>
      <c r="N760" s="304">
        <f t="shared" ca="1" si="336"/>
        <v>-82.373840133459893</v>
      </c>
      <c r="P760" s="310">
        <f t="shared" ca="1" si="337"/>
        <v>23</v>
      </c>
      <c r="Q760" s="304">
        <f t="shared" ca="1" si="338"/>
        <v>0</v>
      </c>
      <c r="R760" s="306">
        <f t="shared" ca="1" si="339"/>
        <v>0</v>
      </c>
      <c r="S760" s="307">
        <f t="shared" ca="1" si="340"/>
        <v>10.637999999999975</v>
      </c>
      <c r="T760" s="304">
        <f t="shared" ca="1" si="320"/>
        <v>104.35877999999975</v>
      </c>
      <c r="U760" s="311">
        <f t="shared" ca="1" si="321"/>
        <v>0</v>
      </c>
      <c r="V760" s="306">
        <f t="shared" ca="1" si="322"/>
        <v>1.0587076765566159</v>
      </c>
      <c r="W760" s="304">
        <f t="shared" ca="1" si="323"/>
        <v>38.750664009346345</v>
      </c>
      <c r="Y760" s="314" t="str">
        <f t="shared" ca="1" si="341"/>
        <v/>
      </c>
      <c r="Z760" s="315" t="str">
        <f t="shared" ca="1" si="342"/>
        <v/>
      </c>
      <c r="AA760" s="316" t="str">
        <f t="shared" ca="1" si="343"/>
        <v/>
      </c>
      <c r="AC760" s="310" t="e">
        <f t="shared" ca="1" si="344"/>
        <v>#N/A</v>
      </c>
      <c r="AD760" s="323" t="e">
        <f t="shared" ca="1" si="345"/>
        <v>#N/A</v>
      </c>
      <c r="AE760" s="324" t="e">
        <f t="shared" ca="1" si="324"/>
        <v>#N/A</v>
      </c>
      <c r="AG760" s="306">
        <f t="shared" ca="1" si="346"/>
        <v>6.1295177650458932</v>
      </c>
      <c r="AH760" s="304">
        <f t="shared" ca="1" si="347"/>
        <v>-3.5918787792386957</v>
      </c>
    </row>
    <row r="761" spans="1:34" x14ac:dyDescent="0.25">
      <c r="A761" s="347">
        <f t="shared" ca="1" si="325"/>
        <v>0.1</v>
      </c>
      <c r="B761" s="304">
        <f t="shared" ca="1" si="326"/>
        <v>30.700000000000106</v>
      </c>
      <c r="D761" s="306">
        <f t="shared" ca="1" si="327"/>
        <v>-0.48341413824183738</v>
      </c>
      <c r="E761" s="307">
        <f t="shared" ca="1" si="328"/>
        <v>-6.1995547662890615</v>
      </c>
      <c r="F761" s="304">
        <f t="shared" ca="1" si="329"/>
        <v>6.2183734633157499</v>
      </c>
      <c r="G761" s="306">
        <f t="shared" ca="1" si="330"/>
        <v>12.405624874542921</v>
      </c>
      <c r="H761" s="307">
        <f t="shared" ca="1" si="331"/>
        <v>-93.634122149878735</v>
      </c>
      <c r="I761" s="304">
        <f t="shared" ca="1" si="332"/>
        <v>94.452360263289819</v>
      </c>
      <c r="J761" s="306">
        <f t="shared" ca="1" si="333"/>
        <v>524.26294997299829</v>
      </c>
      <c r="K761" s="307">
        <f t="shared" ca="1" si="334"/>
        <v>1447.0039209879053</v>
      </c>
      <c r="L761" s="304">
        <f t="shared" ca="1" si="319"/>
        <v>1539.0490531717182</v>
      </c>
      <c r="M761" s="306">
        <f t="shared" ca="1" si="335"/>
        <v>-1.4390730683334374</v>
      </c>
      <c r="N761" s="304">
        <f t="shared" ca="1" si="336"/>
        <v>-82.452813226447475</v>
      </c>
      <c r="P761" s="310">
        <f t="shared" ca="1" si="337"/>
        <v>23</v>
      </c>
      <c r="Q761" s="304">
        <f t="shared" ca="1" si="338"/>
        <v>0</v>
      </c>
      <c r="R761" s="306">
        <f t="shared" ca="1" si="339"/>
        <v>0</v>
      </c>
      <c r="S761" s="307">
        <f t="shared" ca="1" si="340"/>
        <v>10.637999999999975</v>
      </c>
      <c r="T761" s="304">
        <f t="shared" ca="1" si="320"/>
        <v>104.35877999999975</v>
      </c>
      <c r="U761" s="311">
        <f t="shared" ca="1" si="321"/>
        <v>0</v>
      </c>
      <c r="V761" s="306">
        <f t="shared" ca="1" si="322"/>
        <v>1.059701405404645</v>
      </c>
      <c r="W761" s="304">
        <f t="shared" ca="1" si="323"/>
        <v>39.291374853399667</v>
      </c>
      <c r="Y761" s="314" t="str">
        <f t="shared" ca="1" si="341"/>
        <v/>
      </c>
      <c r="Z761" s="315" t="str">
        <f t="shared" ca="1" si="342"/>
        <v/>
      </c>
      <c r="AA761" s="316" t="str">
        <f t="shared" ca="1" si="343"/>
        <v/>
      </c>
      <c r="AC761" s="310" t="e">
        <f t="shared" ca="1" si="344"/>
        <v>#N/A</v>
      </c>
      <c r="AD761" s="323" t="e">
        <f t="shared" ca="1" si="345"/>
        <v>#N/A</v>
      </c>
      <c r="AE761" s="324" t="e">
        <f t="shared" ca="1" si="324"/>
        <v>#N/A</v>
      </c>
      <c r="AG761" s="306">
        <f t="shared" ca="1" si="346"/>
        <v>6.0805666473717936</v>
      </c>
      <c r="AH761" s="304">
        <f t="shared" ca="1" si="347"/>
        <v>-3.6426644114820865</v>
      </c>
    </row>
    <row r="762" spans="1:34" x14ac:dyDescent="0.25">
      <c r="A762" s="347">
        <f t="shared" ca="1" si="325"/>
        <v>0.1</v>
      </c>
      <c r="B762" s="304">
        <f t="shared" ca="1" si="326"/>
        <v>30.800000000000107</v>
      </c>
      <c r="D762" s="306">
        <f t="shared" ca="1" si="327"/>
        <v>-0.48511317467187598</v>
      </c>
      <c r="E762" s="307">
        <f t="shared" ca="1" si="328"/>
        <v>-6.1485039679095195</v>
      </c>
      <c r="F762" s="304">
        <f t="shared" ca="1" si="329"/>
        <v>6.1676118421670578</v>
      </c>
      <c r="G762" s="306">
        <f t="shared" ca="1" si="330"/>
        <v>12.357113557075733</v>
      </c>
      <c r="H762" s="307">
        <f t="shared" ca="1" si="331"/>
        <v>-94.248972546669691</v>
      </c>
      <c r="I762" s="304">
        <f t="shared" ca="1" si="332"/>
        <v>95.055599948479426</v>
      </c>
      <c r="J762" s="306">
        <f t="shared" ca="1" si="333"/>
        <v>525.5010868945792</v>
      </c>
      <c r="K762" s="307">
        <f t="shared" ca="1" si="334"/>
        <v>1437.6097662530779</v>
      </c>
      <c r="L762" s="304">
        <f t="shared" ca="1" si="319"/>
        <v>1530.6447113401637</v>
      </c>
      <c r="M762" s="306">
        <f t="shared" ca="1" si="335"/>
        <v>-1.4404285612825545</v>
      </c>
      <c r="N762" s="304">
        <f t="shared" ca="1" si="336"/>
        <v>-82.530477251591634</v>
      </c>
      <c r="P762" s="310">
        <f t="shared" ca="1" si="337"/>
        <v>23</v>
      </c>
      <c r="Q762" s="304">
        <f t="shared" ca="1" si="338"/>
        <v>0</v>
      </c>
      <c r="R762" s="306">
        <f t="shared" ca="1" si="339"/>
        <v>0</v>
      </c>
      <c r="S762" s="307">
        <f t="shared" ca="1" si="340"/>
        <v>10.637999999999975</v>
      </c>
      <c r="T762" s="304">
        <f t="shared" ca="1" si="320"/>
        <v>104.35877999999975</v>
      </c>
      <c r="U762" s="311">
        <f t="shared" ca="1" si="321"/>
        <v>0</v>
      </c>
      <c r="V762" s="306">
        <f t="shared" ca="1" si="322"/>
        <v>1.0607025822503509</v>
      </c>
      <c r="W762" s="304">
        <f t="shared" ca="1" si="323"/>
        <v>39.832459755679004</v>
      </c>
      <c r="Y762" s="314" t="str">
        <f t="shared" ca="1" si="341"/>
        <v/>
      </c>
      <c r="Z762" s="315" t="str">
        <f t="shared" ca="1" si="342"/>
        <v/>
      </c>
      <c r="AA762" s="316" t="str">
        <f t="shared" ca="1" si="343"/>
        <v/>
      </c>
      <c r="AC762" s="310" t="e">
        <f t="shared" ca="1" si="344"/>
        <v>#N/A</v>
      </c>
      <c r="AD762" s="323" t="e">
        <f t="shared" ca="1" si="345"/>
        <v>#N/A</v>
      </c>
      <c r="AE762" s="324" t="e">
        <f t="shared" ca="1" si="324"/>
        <v>#N/A</v>
      </c>
      <c r="AG762" s="306">
        <f t="shared" ca="1" si="346"/>
        <v>6.0315235947046464</v>
      </c>
      <c r="AH762" s="304">
        <f t="shared" ca="1" si="347"/>
        <v>-3.6934926540138897</v>
      </c>
    </row>
    <row r="763" spans="1:34" x14ac:dyDescent="0.25">
      <c r="A763" s="347">
        <f t="shared" ca="1" si="325"/>
        <v>0.1</v>
      </c>
      <c r="B763" s="304">
        <f t="shared" ca="1" si="326"/>
        <v>30.900000000000109</v>
      </c>
      <c r="D763" s="306">
        <f t="shared" ca="1" si="327"/>
        <v>-0.48676177988786495</v>
      </c>
      <c r="E763" s="307">
        <f t="shared" ca="1" si="328"/>
        <v>-6.0974179785173064</v>
      </c>
      <c r="F763" s="304">
        <f t="shared" ca="1" si="329"/>
        <v>6.1168164133890501</v>
      </c>
      <c r="G763" s="306">
        <f t="shared" ca="1" si="330"/>
        <v>12.308437379086946</v>
      </c>
      <c r="H763" s="307">
        <f t="shared" ca="1" si="331"/>
        <v>-94.858714344521417</v>
      </c>
      <c r="I763" s="304">
        <f t="shared" ca="1" si="332"/>
        <v>95.653924738143473</v>
      </c>
      <c r="J763" s="306">
        <f t="shared" ca="1" si="333"/>
        <v>526.73436444138736</v>
      </c>
      <c r="K763" s="307">
        <f t="shared" ca="1" si="334"/>
        <v>1428.1543819085182</v>
      </c>
      <c r="L763" s="304">
        <f t="shared" ca="1" si="319"/>
        <v>1522.1938211830891</v>
      </c>
      <c r="M763" s="306">
        <f t="shared" ca="1" si="335"/>
        <v>-1.4417617931088103</v>
      </c>
      <c r="N763" s="304">
        <f t="shared" ca="1" si="336"/>
        <v>-82.606865808348601</v>
      </c>
      <c r="P763" s="310">
        <f t="shared" ca="1" si="337"/>
        <v>23</v>
      </c>
      <c r="Q763" s="304">
        <f t="shared" ca="1" si="338"/>
        <v>0</v>
      </c>
      <c r="R763" s="306">
        <f t="shared" ca="1" si="339"/>
        <v>0</v>
      </c>
      <c r="S763" s="307">
        <f t="shared" ca="1" si="340"/>
        <v>10.637999999999975</v>
      </c>
      <c r="T763" s="304">
        <f t="shared" ca="1" si="320"/>
        <v>104.35877999999975</v>
      </c>
      <c r="U763" s="311">
        <f t="shared" ca="1" si="321"/>
        <v>0</v>
      </c>
      <c r="V763" s="306">
        <f t="shared" ca="1" si="322"/>
        <v>1.0617111710456029</v>
      </c>
      <c r="W763" s="304">
        <f t="shared" ca="1" si="323"/>
        <v>40.373840267121167</v>
      </c>
      <c r="Y763" s="314" t="str">
        <f t="shared" ca="1" si="341"/>
        <v/>
      </c>
      <c r="Z763" s="315" t="str">
        <f t="shared" ca="1" si="342"/>
        <v/>
      </c>
      <c r="AA763" s="316" t="str">
        <f t="shared" ca="1" si="343"/>
        <v/>
      </c>
      <c r="AC763" s="310" t="e">
        <f t="shared" ca="1" si="344"/>
        <v>#N/A</v>
      </c>
      <c r="AD763" s="323" t="e">
        <f t="shared" ca="1" si="345"/>
        <v>#N/A</v>
      </c>
      <c r="AE763" s="324" t="e">
        <f t="shared" ca="1" si="324"/>
        <v>#N/A</v>
      </c>
      <c r="AG763" s="306">
        <f t="shared" ca="1" si="346"/>
        <v>5.9823977691135051</v>
      </c>
      <c r="AH763" s="304">
        <f t="shared" ca="1" si="347"/>
        <v>-3.7443560590034872</v>
      </c>
    </row>
    <row r="764" spans="1:34" x14ac:dyDescent="0.25">
      <c r="A764" s="347">
        <f t="shared" ca="1" si="325"/>
        <v>0.1</v>
      </c>
      <c r="B764" s="304">
        <f t="shared" ca="1" si="326"/>
        <v>31.00000000000011</v>
      </c>
      <c r="D764" s="306">
        <f t="shared" ca="1" si="327"/>
        <v>-0.4883601302055674</v>
      </c>
      <c r="E764" s="307">
        <f t="shared" ca="1" si="328"/>
        <v>-6.0463041983596089</v>
      </c>
      <c r="F764" s="304">
        <f t="shared" ca="1" si="329"/>
        <v>6.0659945660934644</v>
      </c>
      <c r="G764" s="306">
        <f t="shared" ca="1" si="330"/>
        <v>12.25960136606639</v>
      </c>
      <c r="H764" s="307">
        <f t="shared" ca="1" si="331"/>
        <v>-95.463344764357373</v>
      </c>
      <c r="I764" s="304">
        <f t="shared" ca="1" si="332"/>
        <v>96.24732733563782</v>
      </c>
      <c r="J764" s="306">
        <f t="shared" ca="1" si="333"/>
        <v>527.96276637864503</v>
      </c>
      <c r="K764" s="307">
        <f t="shared" ca="1" si="334"/>
        <v>1418.6382789530742</v>
      </c>
      <c r="L764" s="304">
        <f t="shared" ca="1" si="319"/>
        <v>1513.6972118601302</v>
      </c>
      <c r="M764" s="306">
        <f t="shared" ca="1" si="335"/>
        <v>-1.4430733302074055</v>
      </c>
      <c r="N764" s="304">
        <f t="shared" ca="1" si="336"/>
        <v>-82.682011348772946</v>
      </c>
      <c r="P764" s="310">
        <f t="shared" ca="1" si="337"/>
        <v>23</v>
      </c>
      <c r="Q764" s="304">
        <f t="shared" ca="1" si="338"/>
        <v>0</v>
      </c>
      <c r="R764" s="306">
        <f t="shared" ca="1" si="339"/>
        <v>0</v>
      </c>
      <c r="S764" s="307">
        <f t="shared" ca="1" si="340"/>
        <v>10.637999999999975</v>
      </c>
      <c r="T764" s="304">
        <f t="shared" ca="1" si="320"/>
        <v>104.35877999999975</v>
      </c>
      <c r="U764" s="311">
        <f t="shared" ca="1" si="321"/>
        <v>0</v>
      </c>
      <c r="V764" s="306">
        <f t="shared" ca="1" si="322"/>
        <v>1.0627271356764836</v>
      </c>
      <c r="W764" s="304">
        <f t="shared" ca="1" si="323"/>
        <v>40.915438735228989</v>
      </c>
      <c r="Y764" s="314" t="str">
        <f t="shared" ca="1" si="341"/>
        <v/>
      </c>
      <c r="Z764" s="315" t="str">
        <f t="shared" ca="1" si="342"/>
        <v/>
      </c>
      <c r="AA764" s="316" t="str">
        <f t="shared" ca="1" si="343"/>
        <v/>
      </c>
      <c r="AC764" s="310">
        <f t="shared" ca="1" si="344"/>
        <v>31.00000000000011</v>
      </c>
      <c r="AD764" s="323">
        <f t="shared" ca="1" si="345"/>
        <v>527.96276637864503</v>
      </c>
      <c r="AE764" s="324" t="e">
        <f t="shared" ca="1" si="324"/>
        <v>#N/A</v>
      </c>
      <c r="AG764" s="306">
        <f t="shared" ca="1" si="346"/>
        <v>5.9331981856974867</v>
      </c>
      <c r="AH764" s="304">
        <f t="shared" ca="1" si="347"/>
        <v>-3.7952472520324556</v>
      </c>
    </row>
    <row r="765" spans="1:34" x14ac:dyDescent="0.25">
      <c r="A765" s="347">
        <f t="shared" ca="1" si="325"/>
        <v>0.1</v>
      </c>
      <c r="B765" s="304">
        <f t="shared" ca="1" si="326"/>
        <v>31.100000000000112</v>
      </c>
      <c r="D765" s="306">
        <f t="shared" ca="1" si="327"/>
        <v>-0.48990841222602838</v>
      </c>
      <c r="E765" s="307">
        <f t="shared" ca="1" si="328"/>
        <v>-5.9951699526916755</v>
      </c>
      <c r="F765" s="304">
        <f t="shared" ca="1" si="329"/>
        <v>6.0151536151645315</v>
      </c>
      <c r="G765" s="306">
        <f t="shared" ca="1" si="330"/>
        <v>12.210610524843787</v>
      </c>
      <c r="H765" s="307">
        <f t="shared" ca="1" si="331"/>
        <v>-96.062861759626543</v>
      </c>
      <c r="I765" s="304">
        <f t="shared" ca="1" si="332"/>
        <v>96.83580132801373</v>
      </c>
      <c r="J765" s="306">
        <f t="shared" ca="1" si="333"/>
        <v>529.1862769731905</v>
      </c>
      <c r="K765" s="307">
        <f t="shared" ca="1" si="334"/>
        <v>1409.0619686268749</v>
      </c>
      <c r="L765" s="304">
        <f t="shared" ca="1" si="319"/>
        <v>1505.1557218996945</v>
      </c>
      <c r="M765" s="306">
        <f t="shared" ca="1" si="335"/>
        <v>-1.4443637197875379</v>
      </c>
      <c r="N765" s="304">
        <f t="shared" ca="1" si="336"/>
        <v>-82.755945225642193</v>
      </c>
      <c r="P765" s="310">
        <f t="shared" ca="1" si="337"/>
        <v>23</v>
      </c>
      <c r="Q765" s="304">
        <f t="shared" ca="1" si="338"/>
        <v>0</v>
      </c>
      <c r="R765" s="306">
        <f t="shared" ca="1" si="339"/>
        <v>0</v>
      </c>
      <c r="S765" s="307">
        <f t="shared" ca="1" si="340"/>
        <v>10.637999999999975</v>
      </c>
      <c r="T765" s="304">
        <f t="shared" ca="1" si="320"/>
        <v>104.35877999999975</v>
      </c>
      <c r="U765" s="311">
        <f t="shared" ca="1" si="321"/>
        <v>0</v>
      </c>
      <c r="V765" s="306">
        <f t="shared" ca="1" si="322"/>
        <v>1.063750439968143</v>
      </c>
      <c r="W765" s="304">
        <f t="shared" ca="1" si="323"/>
        <v>41.457178319108522</v>
      </c>
      <c r="Y765" s="314" t="str">
        <f t="shared" ca="1" si="341"/>
        <v/>
      </c>
      <c r="Z765" s="315" t="str">
        <f t="shared" ca="1" si="342"/>
        <v/>
      </c>
      <c r="AA765" s="316" t="str">
        <f t="shared" ca="1" si="343"/>
        <v/>
      </c>
      <c r="AC765" s="310" t="e">
        <f t="shared" ca="1" si="344"/>
        <v>#N/A</v>
      </c>
      <c r="AD765" s="323" t="e">
        <f t="shared" ca="1" si="345"/>
        <v>#N/A</v>
      </c>
      <c r="AE765" s="324" t="e">
        <f t="shared" ca="1" si="324"/>
        <v>#N/A</v>
      </c>
      <c r="AG765" s="306">
        <f t="shared" ca="1" si="346"/>
        <v>5.883933714856072</v>
      </c>
      <c r="AH765" s="304">
        <f t="shared" ca="1" si="347"/>
        <v>-3.8461589335616737</v>
      </c>
    </row>
    <row r="766" spans="1:34" x14ac:dyDescent="0.25">
      <c r="A766" s="347">
        <f t="shared" ca="1" si="325"/>
        <v>0.1</v>
      </c>
      <c r="B766" s="304">
        <f t="shared" ca="1" si="326"/>
        <v>31.200000000000113</v>
      </c>
      <c r="D766" s="306">
        <f t="shared" ca="1" si="327"/>
        <v>-0.49140682261047053</v>
      </c>
      <c r="E766" s="307">
        <f t="shared" ca="1" si="328"/>
        <v>-5.9440224903479288</v>
      </c>
      <c r="F766" s="304">
        <f t="shared" ca="1" si="329"/>
        <v>5.9643007998482194</v>
      </c>
      <c r="G766" s="306">
        <f t="shared" ca="1" si="330"/>
        <v>12.16146984258274</v>
      </c>
      <c r="H766" s="307">
        <f t="shared" ca="1" si="331"/>
        <v>-96.657264008661329</v>
      </c>
      <c r="I766" s="304">
        <f t="shared" ca="1" si="332"/>
        <v>97.41934117192595</v>
      </c>
      <c r="J766" s="306">
        <f t="shared" ca="1" si="333"/>
        <v>530.40488099156187</v>
      </c>
      <c r="K766" s="307">
        <f t="shared" ca="1" si="334"/>
        <v>1399.4259623384605</v>
      </c>
      <c r="L766" s="304">
        <f t="shared" ca="1" si="319"/>
        <v>1496.5701994382352</v>
      </c>
      <c r="M766" s="306">
        <f t="shared" ca="1" si="335"/>
        <v>-1.4456334906707318</v>
      </c>
      <c r="N766" s="304">
        <f t="shared" ca="1" si="336"/>
        <v>-82.828697738197803</v>
      </c>
      <c r="P766" s="310">
        <f t="shared" ca="1" si="337"/>
        <v>23</v>
      </c>
      <c r="Q766" s="304">
        <f t="shared" ca="1" si="338"/>
        <v>0</v>
      </c>
      <c r="R766" s="306">
        <f t="shared" ca="1" si="339"/>
        <v>0</v>
      </c>
      <c r="S766" s="307">
        <f t="shared" ca="1" si="340"/>
        <v>10.637999999999975</v>
      </c>
      <c r="T766" s="304">
        <f t="shared" ca="1" si="320"/>
        <v>104.35877999999975</v>
      </c>
      <c r="U766" s="311">
        <f t="shared" ca="1" si="321"/>
        <v>0</v>
      </c>
      <c r="V766" s="306">
        <f t="shared" ca="1" si="322"/>
        <v>1.0647810476896287</v>
      </c>
      <c r="W766" s="304">
        <f t="shared" ca="1" si="323"/>
        <v>41.998983003937383</v>
      </c>
      <c r="Y766" s="314" t="str">
        <f t="shared" ca="1" si="341"/>
        <v/>
      </c>
      <c r="Z766" s="315" t="str">
        <f t="shared" ca="1" si="342"/>
        <v/>
      </c>
      <c r="AA766" s="316" t="str">
        <f t="shared" ca="1" si="343"/>
        <v/>
      </c>
      <c r="AC766" s="310" t="e">
        <f t="shared" ca="1" si="344"/>
        <v>#N/A</v>
      </c>
      <c r="AD766" s="323" t="e">
        <f t="shared" ca="1" si="345"/>
        <v>#N/A</v>
      </c>
      <c r="AE766" s="324" t="e">
        <f t="shared" ca="1" si="324"/>
        <v>#N/A</v>
      </c>
      <c r="AG766" s="306">
        <f t="shared" ca="1" si="346"/>
        <v>5.8346130843945154</v>
      </c>
      <c r="AH766" s="304">
        <f t="shared" ca="1" si="347"/>
        <v>-3.89708388034486</v>
      </c>
    </row>
    <row r="767" spans="1:34" x14ac:dyDescent="0.25">
      <c r="A767" s="347">
        <f t="shared" ca="1" si="325"/>
        <v>0.1</v>
      </c>
      <c r="B767" s="304">
        <f t="shared" ca="1" si="326"/>
        <v>31.300000000000114</v>
      </c>
      <c r="D767" s="306">
        <f t="shared" ca="1" si="327"/>
        <v>-0.49285556785588647</v>
      </c>
      <c r="E767" s="307">
        <f t="shared" ca="1" si="328"/>
        <v>-5.8928689823673368</v>
      </c>
      <c r="F767" s="304">
        <f t="shared" ca="1" si="329"/>
        <v>5.9134432823959342</v>
      </c>
      <c r="G767" s="306">
        <f t="shared" ca="1" si="330"/>
        <v>12.11218428579715</v>
      </c>
      <c r="H767" s="307">
        <f t="shared" ca="1" si="331"/>
        <v>-97.246550906898065</v>
      </c>
      <c r="I767" s="304">
        <f t="shared" ca="1" si="332"/>
        <v>97.99794217972655</v>
      </c>
      <c r="J767" s="306">
        <f t="shared" ca="1" si="333"/>
        <v>531.6185636979809</v>
      </c>
      <c r="K767" s="307">
        <f t="shared" ca="1" si="334"/>
        <v>1389.7307715926825</v>
      </c>
      <c r="L767" s="304">
        <f t="shared" ca="1" si="319"/>
        <v>1487.9415024724249</v>
      </c>
      <c r="M767" s="306">
        <f t="shared" ca="1" si="335"/>
        <v>-1.4468831540499325</v>
      </c>
      <c r="N767" s="304">
        <f t="shared" ca="1" si="336"/>
        <v>-82.900298175638056</v>
      </c>
      <c r="P767" s="310">
        <f t="shared" ca="1" si="337"/>
        <v>23</v>
      </c>
      <c r="Q767" s="304">
        <f t="shared" ca="1" si="338"/>
        <v>0</v>
      </c>
      <c r="R767" s="306">
        <f t="shared" ca="1" si="339"/>
        <v>0</v>
      </c>
      <c r="S767" s="307">
        <f t="shared" ca="1" si="340"/>
        <v>10.637999999999975</v>
      </c>
      <c r="T767" s="304">
        <f t="shared" ca="1" si="320"/>
        <v>104.35877999999975</v>
      </c>
      <c r="U767" s="311">
        <f t="shared" ca="1" si="321"/>
        <v>0</v>
      </c>
      <c r="V767" s="306">
        <f t="shared" ca="1" si="322"/>
        <v>1.0658189225586709</v>
      </c>
      <c r="W767" s="304">
        <f t="shared" ca="1" si="323"/>
        <v>42.540777614864098</v>
      </c>
      <c r="Y767" s="314" t="str">
        <f t="shared" ca="1" si="341"/>
        <v/>
      </c>
      <c r="Z767" s="315" t="str">
        <f t="shared" ca="1" si="342"/>
        <v/>
      </c>
      <c r="AA767" s="316" t="str">
        <f t="shared" ca="1" si="343"/>
        <v/>
      </c>
      <c r="AC767" s="310" t="e">
        <f t="shared" ca="1" si="344"/>
        <v>#N/A</v>
      </c>
      <c r="AD767" s="323" t="e">
        <f t="shared" ca="1" si="345"/>
        <v>#N/A</v>
      </c>
      <c r="AE767" s="324" t="e">
        <f t="shared" ca="1" si="324"/>
        <v>#N/A</v>
      </c>
      <c r="AG767" s="306">
        <f t="shared" ca="1" si="346"/>
        <v>5.7852448814786062</v>
      </c>
      <c r="AH767" s="304">
        <f t="shared" ca="1" si="347"/>
        <v>-3.9480149467886334</v>
      </c>
    </row>
    <row r="768" spans="1:34" x14ac:dyDescent="0.25">
      <c r="A768" s="347">
        <f t="shared" ca="1" si="325"/>
        <v>0.1</v>
      </c>
      <c r="B768" s="304">
        <f t="shared" ca="1" si="326"/>
        <v>31.400000000000116</v>
      </c>
      <c r="D768" s="306">
        <f t="shared" ca="1" si="327"/>
        <v>-0.49425486407131519</v>
      </c>
      <c r="E768" s="307">
        <f t="shared" ca="1" si="328"/>
        <v>-5.8417165206729802</v>
      </c>
      <c r="F768" s="304">
        <f t="shared" ca="1" si="329"/>
        <v>5.8625881467626382</v>
      </c>
      <c r="G768" s="306">
        <f t="shared" ca="1" si="330"/>
        <v>12.06275879939002</v>
      </c>
      <c r="H768" s="307">
        <f t="shared" ca="1" si="331"/>
        <v>-97.830722558965363</v>
      </c>
      <c r="I768" s="304">
        <f t="shared" ca="1" si="332"/>
        <v>98.571600505731439</v>
      </c>
      <c r="J768" s="306">
        <f t="shared" ca="1" si="333"/>
        <v>532.82731085224032</v>
      </c>
      <c r="K768" s="307">
        <f t="shared" ca="1" si="334"/>
        <v>1379.9769079193893</v>
      </c>
      <c r="L768" s="304">
        <f t="shared" ca="1" si="319"/>
        <v>1479.2704991247506</v>
      </c>
      <c r="M768" s="306">
        <f t="shared" ca="1" si="335"/>
        <v>-1.4481132042115767</v>
      </c>
      <c r="N768" s="304">
        <f t="shared" ca="1" si="336"/>
        <v>-82.970774858489662</v>
      </c>
      <c r="P768" s="310">
        <f t="shared" ca="1" si="337"/>
        <v>23</v>
      </c>
      <c r="Q768" s="304">
        <f t="shared" ca="1" si="338"/>
        <v>0</v>
      </c>
      <c r="R768" s="306">
        <f t="shared" ca="1" si="339"/>
        <v>0</v>
      </c>
      <c r="S768" s="307">
        <f t="shared" ca="1" si="340"/>
        <v>10.637999999999975</v>
      </c>
      <c r="T768" s="304">
        <f t="shared" ca="1" si="320"/>
        <v>104.35877999999975</v>
      </c>
      <c r="U768" s="311">
        <f t="shared" ca="1" si="321"/>
        <v>0</v>
      </c>
      <c r="V768" s="306">
        <f t="shared" ca="1" si="322"/>
        <v>1.0668640282464401</v>
      </c>
      <c r="W768" s="304">
        <f t="shared" ca="1" si="323"/>
        <v>43.082487830340497</v>
      </c>
      <c r="Y768" s="314" t="str">
        <f t="shared" ca="1" si="341"/>
        <v/>
      </c>
      <c r="Z768" s="315" t="str">
        <f t="shared" ca="1" si="342"/>
        <v/>
      </c>
      <c r="AA768" s="316" t="str">
        <f t="shared" ca="1" si="343"/>
        <v/>
      </c>
      <c r="AC768" s="310" t="e">
        <f t="shared" ca="1" si="344"/>
        <v>#N/A</v>
      </c>
      <c r="AD768" s="323" t="e">
        <f t="shared" ca="1" si="345"/>
        <v>#N/A</v>
      </c>
      <c r="AE768" s="324" t="e">
        <f t="shared" ca="1" si="324"/>
        <v>#N/A</v>
      </c>
      <c r="AG768" s="306">
        <f t="shared" ca="1" si="346"/>
        <v>5.735837554452182</v>
      </c>
      <c r="AH768" s="304">
        <f t="shared" ca="1" si="347"/>
        <v>-3.9989450662590897</v>
      </c>
    </row>
    <row r="769" spans="1:34" x14ac:dyDescent="0.25">
      <c r="A769" s="347">
        <f t="shared" ca="1" si="325"/>
        <v>0.1</v>
      </c>
      <c r="B769" s="304">
        <f t="shared" ca="1" si="326"/>
        <v>31.500000000000117</v>
      </c>
      <c r="D769" s="306">
        <f t="shared" ca="1" si="327"/>
        <v>-0.49560493675484124</v>
      </c>
      <c r="E769" s="307">
        <f t="shared" ca="1" si="328"/>
        <v>-5.7905721168056354</v>
      </c>
      <c r="F769" s="304">
        <f t="shared" ca="1" si="329"/>
        <v>5.8117423973592173</v>
      </c>
      <c r="G769" s="306">
        <f t="shared" ca="1" si="330"/>
        <v>12.013198305714536</v>
      </c>
      <c r="H769" s="307">
        <f t="shared" ca="1" si="331"/>
        <v>-98.409779770645926</v>
      </c>
      <c r="I769" s="304">
        <f t="shared" ca="1" si="332"/>
        <v>99.140313132647776</v>
      </c>
      <c r="J769" s="306">
        <f t="shared" ca="1" si="333"/>
        <v>534.03110870749549</v>
      </c>
      <c r="K769" s="307">
        <f t="shared" ca="1" si="334"/>
        <v>1370.1648828029088</v>
      </c>
      <c r="L769" s="304">
        <f t="shared" ca="1" si="319"/>
        <v>1470.5580679230814</v>
      </c>
      <c r="M769" s="306">
        <f t="shared" ca="1" si="335"/>
        <v>-1.4493241192227215</v>
      </c>
      <c r="N769" s="304">
        <f t="shared" ca="1" si="336"/>
        <v>-83.040155177977297</v>
      </c>
      <c r="P769" s="310">
        <f t="shared" ca="1" si="337"/>
        <v>23</v>
      </c>
      <c r="Q769" s="304">
        <f t="shared" ca="1" si="338"/>
        <v>0</v>
      </c>
      <c r="R769" s="306">
        <f t="shared" ca="1" si="339"/>
        <v>0</v>
      </c>
      <c r="S769" s="307">
        <f t="shared" ca="1" si="340"/>
        <v>10.637999999999975</v>
      </c>
      <c r="T769" s="304">
        <f t="shared" ca="1" si="320"/>
        <v>104.35877999999975</v>
      </c>
      <c r="U769" s="311">
        <f t="shared" ca="1" si="321"/>
        <v>0</v>
      </c>
      <c r="V769" s="306">
        <f t="shared" ca="1" si="322"/>
        <v>1.0679163283822621</v>
      </c>
      <c r="W769" s="304">
        <f t="shared" ca="1" si="323"/>
        <v>43.624040194888032</v>
      </c>
      <c r="Y769" s="314" t="str">
        <f t="shared" ca="1" si="341"/>
        <v/>
      </c>
      <c r="Z769" s="315" t="str">
        <f t="shared" ca="1" si="342"/>
        <v/>
      </c>
      <c r="AA769" s="316" t="str">
        <f t="shared" ca="1" si="343"/>
        <v/>
      </c>
      <c r="AC769" s="310" t="e">
        <f t="shared" ca="1" si="344"/>
        <v>#N/A</v>
      </c>
      <c r="AD769" s="323" t="e">
        <f t="shared" ca="1" si="345"/>
        <v>#N/A</v>
      </c>
      <c r="AE769" s="324" t="e">
        <f t="shared" ca="1" si="324"/>
        <v>#N/A</v>
      </c>
      <c r="AG769" s="306">
        <f t="shared" ca="1" si="346"/>
        <v>5.6863994145295518</v>
      </c>
      <c r="AH769" s="304">
        <f t="shared" ca="1" si="347"/>
        <v>-4.0498672523350816</v>
      </c>
    </row>
    <row r="770" spans="1:34" x14ac:dyDescent="0.25">
      <c r="A770" s="347">
        <f t="shared" ca="1" si="325"/>
        <v>0.1</v>
      </c>
      <c r="B770" s="304">
        <f t="shared" ca="1" si="326"/>
        <v>31.600000000000119</v>
      </c>
      <c r="D770" s="306">
        <f t="shared" ca="1" si="327"/>
        <v>-0.49690602057130157</v>
      </c>
      <c r="E770" s="307">
        <f t="shared" ca="1" si="328"/>
        <v>-5.7394427007112281</v>
      </c>
      <c r="F770" s="304">
        <f t="shared" ca="1" si="329"/>
        <v>5.7609129578589711</v>
      </c>
      <c r="G770" s="306">
        <f t="shared" ca="1" si="330"/>
        <v>11.963507703657406</v>
      </c>
      <c r="H770" s="307">
        <f t="shared" ca="1" si="331"/>
        <v>-98.98372404071705</v>
      </c>
      <c r="I770" s="304">
        <f t="shared" ca="1" si="332"/>
        <v>99.704077858151308</v>
      </c>
      <c r="J770" s="306">
        <f t="shared" ca="1" si="333"/>
        <v>535.22994400796404</v>
      </c>
      <c r="K770" s="307">
        <f t="shared" ca="1" si="334"/>
        <v>1360.2952076123406</v>
      </c>
      <c r="L770" s="304">
        <f t="shared" ca="1" si="319"/>
        <v>1461.805098094773</v>
      </c>
      <c r="M770" s="306">
        <f t="shared" ca="1" si="335"/>
        <v>-1.4505163615851668</v>
      </c>
      <c r="N770" s="304">
        <f t="shared" ca="1" si="336"/>
        <v>-83.108465633502107</v>
      </c>
      <c r="P770" s="310">
        <f t="shared" ca="1" si="337"/>
        <v>23</v>
      </c>
      <c r="Q770" s="304">
        <f t="shared" ca="1" si="338"/>
        <v>0</v>
      </c>
      <c r="R770" s="306">
        <f t="shared" ca="1" si="339"/>
        <v>0</v>
      </c>
      <c r="S770" s="307">
        <f t="shared" ca="1" si="340"/>
        <v>10.637999999999975</v>
      </c>
      <c r="T770" s="304">
        <f t="shared" ca="1" si="320"/>
        <v>104.35877999999975</v>
      </c>
      <c r="U770" s="311">
        <f t="shared" ca="1" si="321"/>
        <v>0</v>
      </c>
      <c r="V770" s="306">
        <f t="shared" ca="1" si="322"/>
        <v>1.0689757865582998</v>
      </c>
      <c r="W770" s="304">
        <f t="shared" ca="1" si="323"/>
        <v>44.165362131300441</v>
      </c>
      <c r="Y770" s="314" t="str">
        <f t="shared" ca="1" si="341"/>
        <v/>
      </c>
      <c r="Z770" s="315" t="str">
        <f t="shared" ca="1" si="342"/>
        <v/>
      </c>
      <c r="AA770" s="316" t="str">
        <f t="shared" ca="1" si="343"/>
        <v/>
      </c>
      <c r="AC770" s="310" t="e">
        <f t="shared" ca="1" si="344"/>
        <v>#N/A</v>
      </c>
      <c r="AD770" s="323" t="e">
        <f t="shared" ca="1" si="345"/>
        <v>#N/A</v>
      </c>
      <c r="AE770" s="324" t="e">
        <f t="shared" ca="1" si="324"/>
        <v>#N/A</v>
      </c>
      <c r="AG770" s="306">
        <f t="shared" ca="1" si="346"/>
        <v>5.6369386373742776</v>
      </c>
      <c r="AH770" s="304">
        <f t="shared" ca="1" si="347"/>
        <v>-4.1007746000082852</v>
      </c>
    </row>
    <row r="771" spans="1:34" x14ac:dyDescent="0.25">
      <c r="A771" s="347">
        <f t="shared" ca="1" si="325"/>
        <v>0.1</v>
      </c>
      <c r="B771" s="304">
        <f t="shared" ca="1" si="326"/>
        <v>31.70000000000012</v>
      </c>
      <c r="D771" s="306">
        <f t="shared" ca="1" si="327"/>
        <v>-0.49815835913076434</v>
      </c>
      <c r="E771" s="307">
        <f t="shared" ca="1" si="328"/>
        <v>-5.6883351195819127</v>
      </c>
      <c r="F771" s="304">
        <f t="shared" ca="1" si="329"/>
        <v>5.7101066700579972</v>
      </c>
      <c r="G771" s="306">
        <f t="shared" ca="1" si="330"/>
        <v>11.91369186774433</v>
      </c>
      <c r="H771" s="307">
        <f t="shared" ca="1" si="331"/>
        <v>-99.552557552675239</v>
      </c>
      <c r="I771" s="304">
        <f t="shared" ca="1" si="332"/>
        <v>100.26289328160379</v>
      </c>
      <c r="J771" s="306">
        <f t="shared" ca="1" si="333"/>
        <v>536.42380398653415</v>
      </c>
      <c r="K771" s="307">
        <f t="shared" ca="1" si="334"/>
        <v>1350.368393532671</v>
      </c>
      <c r="L771" s="304">
        <f t="shared" ca="1" si="319"/>
        <v>1453.0124898759095</v>
      </c>
      <c r="M771" s="306">
        <f t="shared" ca="1" si="335"/>
        <v>-1.4516903788584015</v>
      </c>
      <c r="N771" s="304">
        <f t="shared" ca="1" si="336"/>
        <v>-83.175731868333912</v>
      </c>
      <c r="P771" s="310">
        <f t="shared" ca="1" si="337"/>
        <v>23</v>
      </c>
      <c r="Q771" s="304">
        <f t="shared" ca="1" si="338"/>
        <v>0</v>
      </c>
      <c r="R771" s="306">
        <f t="shared" ca="1" si="339"/>
        <v>0</v>
      </c>
      <c r="S771" s="307">
        <f t="shared" ca="1" si="340"/>
        <v>10.637999999999975</v>
      </c>
      <c r="T771" s="304">
        <f t="shared" ca="1" si="320"/>
        <v>104.35877999999975</v>
      </c>
      <c r="U771" s="311">
        <f t="shared" ca="1" si="321"/>
        <v>0</v>
      </c>
      <c r="V771" s="306">
        <f t="shared" ca="1" si="322"/>
        <v>1.0700423663341938</v>
      </c>
      <c r="W771" s="304">
        <f t="shared" ca="1" si="323"/>
        <v>44.706381952284701</v>
      </c>
      <c r="Y771" s="314" t="str">
        <f t="shared" ca="1" si="341"/>
        <v/>
      </c>
      <c r="Z771" s="315" t="str">
        <f t="shared" ca="1" si="342"/>
        <v/>
      </c>
      <c r="AA771" s="316" t="str">
        <f t="shared" ca="1" si="343"/>
        <v/>
      </c>
      <c r="AC771" s="310" t="e">
        <f t="shared" ca="1" si="344"/>
        <v>#N/A</v>
      </c>
      <c r="AD771" s="323" t="e">
        <f t="shared" ca="1" si="345"/>
        <v>#N/A</v>
      </c>
      <c r="AE771" s="324" t="e">
        <f t="shared" ca="1" si="324"/>
        <v>#N/A</v>
      </c>
      <c r="AG771" s="306">
        <f t="shared" ca="1" si="346"/>
        <v>5.5874632645746685</v>
      </c>
      <c r="AH771" s="304">
        <f t="shared" ca="1" si="347"/>
        <v>-4.1516602868302828</v>
      </c>
    </row>
    <row r="772" spans="1:34" x14ac:dyDescent="0.25">
      <c r="A772" s="347">
        <f t="shared" ca="1" si="325"/>
        <v>0.1</v>
      </c>
      <c r="B772" s="304">
        <f t="shared" ca="1" si="326"/>
        <v>31.800000000000122</v>
      </c>
      <c r="D772" s="306">
        <f t="shared" ca="1" si="327"/>
        <v>-0.49936220476777698</v>
      </c>
      <c r="E772" s="307">
        <f t="shared" ca="1" si="328"/>
        <v>-5.6372561367505636</v>
      </c>
      <c r="F772" s="304">
        <f t="shared" ca="1" si="329"/>
        <v>5.6593302927892823</v>
      </c>
      <c r="G772" s="306">
        <f t="shared" ca="1" si="330"/>
        <v>11.863755647267553</v>
      </c>
      <c r="H772" s="307">
        <f t="shared" ca="1" si="331"/>
        <v>-100.1162831663503</v>
      </c>
      <c r="I772" s="304">
        <f t="shared" ca="1" si="332"/>
        <v>100.81675879090197</v>
      </c>
      <c r="J772" s="306">
        <f t="shared" ca="1" si="333"/>
        <v>537.61267636228479</v>
      </c>
      <c r="K772" s="307">
        <f t="shared" ca="1" si="334"/>
        <v>1340.3849514967196</v>
      </c>
      <c r="L772" s="304">
        <f t="shared" ref="L772:L835" ca="1" si="348">SQRT(pos_x^2+pos_z^2)</f>
        <v>1444.1811548362907</v>
      </c>
      <c r="M772" s="306">
        <f t="shared" ca="1" si="335"/>
        <v>-1.4528466042530779</v>
      </c>
      <c r="N772" s="304">
        <f t="shared" ca="1" si="336"/>
        <v>-83.24197870361472</v>
      </c>
      <c r="P772" s="310">
        <f t="shared" ca="1" si="337"/>
        <v>23</v>
      </c>
      <c r="Q772" s="304">
        <f t="shared" ca="1" si="338"/>
        <v>0</v>
      </c>
      <c r="R772" s="306">
        <f t="shared" ca="1" si="339"/>
        <v>0</v>
      </c>
      <c r="S772" s="307">
        <f t="shared" ca="1" si="340"/>
        <v>10.637999999999975</v>
      </c>
      <c r="T772" s="304">
        <f t="shared" ref="T772:T835" ca="1" si="349">m*g</f>
        <v>104.35877999999975</v>
      </c>
      <c r="U772" s="311">
        <f t="shared" ref="U772:U835" ca="1" si="350">IF(pos_xz&lt;L_rampe,Poids*COS(Beta),0)</f>
        <v>0</v>
      </c>
      <c r="V772" s="306">
        <f t="shared" ref="V772:V835" ca="1" si="351">Rho_moyen*(20000-Alt_rampe-pos_z)/(20000+Alt_rampe+pos_z)</f>
        <v>1.0711160312416652</v>
      </c>
      <c r="W772" s="304">
        <f t="shared" ref="W772:W835" ca="1" si="352">1/2*Rho*Sref*Cx*vit_xz^2</f>
        <v>45.247028871543357</v>
      </c>
      <c r="Y772" s="314" t="str">
        <f t="shared" ca="1" si="341"/>
        <v/>
      </c>
      <c r="Z772" s="315" t="str">
        <f t="shared" ca="1" si="342"/>
        <v/>
      </c>
      <c r="AA772" s="316" t="str">
        <f t="shared" ca="1" si="343"/>
        <v/>
      </c>
      <c r="AC772" s="310" t="e">
        <f t="shared" ca="1" si="344"/>
        <v>#N/A</v>
      </c>
      <c r="AD772" s="323" t="e">
        <f t="shared" ca="1" si="345"/>
        <v>#N/A</v>
      </c>
      <c r="AE772" s="324" t="e">
        <f t="shared" ref="AE772:AE835" ca="1" si="353">IF(t&lt;T_para, pos_z, NA())</f>
        <v>#N/A</v>
      </c>
      <c r="AG772" s="306">
        <f t="shared" ca="1" si="346"/>
        <v>5.5379812050258188</v>
      </c>
      <c r="AH772" s="304">
        <f t="shared" ca="1" si="347"/>
        <v>-4.2025175740068441</v>
      </c>
    </row>
    <row r="773" spans="1:34" x14ac:dyDescent="0.25">
      <c r="A773" s="347">
        <f t="shared" ref="A773:A836" ca="1" si="354">IF(B772+0.01&lt;=T_ini+ROUNDUP(Temps_fin_propu,0), 0.01, IF(K772&gt;0, 0.1, 0.0001))</f>
        <v>0.1</v>
      </c>
      <c r="B773" s="304">
        <f t="shared" ref="B773:B836" ca="1" si="355">B772+pas</f>
        <v>31.900000000000123</v>
      </c>
      <c r="D773" s="306">
        <f t="shared" ref="D773:D836" ca="1" si="356">IF(AND(L772&lt;L_rampe,Poussee&lt;Poids*SIN(M772)),0,(-W772+Poussee)/m*COS(M772)-U772/m*SIN(M772))</f>
        <v>-0.50051781832143483</v>
      </c>
      <c r="E773" s="307">
        <f t="shared" ref="E773:E836" ca="1" si="357">IF(AND(L772&lt;L_rampe,Poussee&lt;Poids*SIN(M772)),0,(-W772+Poussee)/m*SIN(M772)+U772/m*COS(M772)-Poids/m)</f>
        <v>-5.5862124306383638</v>
      </c>
      <c r="F773" s="304">
        <f t="shared" ref="F773:F836" ca="1" si="358">SQRT(acc_x^2+acc_z^2)</f>
        <v>5.6085905008902035</v>
      </c>
      <c r="G773" s="306">
        <f t="shared" ref="G773:G836" ca="1" si="359">G772+acc_x*pas</f>
        <v>11.813703865435409</v>
      </c>
      <c r="H773" s="307">
        <f t="shared" ref="H773:H836" ca="1" si="360">H772+acc_z*pas</f>
        <v>-100.67490440941414</v>
      </c>
      <c r="I773" s="304">
        <f t="shared" ref="I773:I836" ca="1" si="361">SQRT(vit_x^2+vit_z^2)</f>
        <v>101.36567454944932</v>
      </c>
      <c r="J773" s="306">
        <f t="shared" ref="J773:J836" ca="1" si="362">J772+0.5*(vit_x+G772)*pas*(K772&gt;=0)</f>
        <v>538.79654933791994</v>
      </c>
      <c r="K773" s="307">
        <f t="shared" ref="K773:K836" ca="1" si="363">K772+0.5*(vit_z+H772)*pas</f>
        <v>1330.3453921179314</v>
      </c>
      <c r="L773" s="304">
        <f t="shared" ca="1" si="348"/>
        <v>1435.3120162208154</v>
      </c>
      <c r="M773" s="306">
        <f t="shared" ref="M773:M836" ca="1" si="364">IF(AND(L772&gt;L_rampe,G773&gt;0),ATAN2(G773,H773),$M$4)</f>
        <v>-1.4539854571966198</v>
      </c>
      <c r="N773" s="304">
        <f t="shared" ref="N773:N836" ca="1" si="365">DEGREES(Beta)</f>
        <v>-83.30723017076572</v>
      </c>
      <c r="P773" s="310">
        <f t="shared" ref="P773:P836" ca="1" si="366">MATCH(t-pas/2-T_ini,CdP_t)</f>
        <v>23</v>
      </c>
      <c r="Q773" s="304">
        <f t="shared" ref="Q773:Q836" ca="1" si="367">(INDEX(CdP,2,i_P+1)-INDEX(CdP,2,i_P+0))/(INDEX(CdP,1,i_P+1)-INDEX(CdP,1,i_P+0))*(t-pas/2-T_ini-INDEX(CdP,1,i_P+0))+INDEX(CdP,2,i_P+0)</f>
        <v>0</v>
      </c>
      <c r="R773" s="306">
        <f t="shared" ref="R773:R836" ca="1" si="368">Poussee/(g*ISP)</f>
        <v>0</v>
      </c>
      <c r="S773" s="307">
        <f t="shared" ref="S773:S836" ca="1" si="369">S772-Débit*pas</f>
        <v>10.637999999999975</v>
      </c>
      <c r="T773" s="304">
        <f t="shared" ca="1" si="349"/>
        <v>104.35877999999975</v>
      </c>
      <c r="U773" s="311">
        <f t="shared" ca="1" si="350"/>
        <v>0</v>
      </c>
      <c r="V773" s="306">
        <f t="shared" ca="1" si="351"/>
        <v>1.072196744789077</v>
      </c>
      <c r="W773" s="304">
        <f t="shared" ca="1" si="352"/>
        <v>45.787233014300462</v>
      </c>
      <c r="Y773" s="314" t="str">
        <f t="shared" ref="Y773:Y836" ca="1" si="370">IF(AND(pos_z&lt;=0,K772&gt;0),"Impact balistique","") &amp; IF(AND(H774&lt;0,vit_z&gt;=0),"Apogée","") &amp; IF(AND(Poussee=0,Q772&gt;0),"Fin de propulsion","") &amp; IF(AND(L774&gt;L_rampe,pos_xz&lt;=L_rampe),"Sortie de rampe","")</f>
        <v/>
      </c>
      <c r="Z773" s="315" t="str">
        <f t="shared" ref="Z773:Z836" ca="1" si="371">IF(ABS(t-T_para)&lt;pas/2,"Para","")</f>
        <v/>
      </c>
      <c r="AA773" s="316" t="str">
        <f t="shared" ref="AA773:AA836" ca="1" si="372">IF(ABS(t-T_satellite)&lt;pas/2,"Satellite","")</f>
        <v/>
      </c>
      <c r="AC773" s="310" t="e">
        <f t="shared" ref="AC773:AC836" ca="1" si="373">IF(ABS(t-ROUND(t,0))&lt;0.001,t,NA())</f>
        <v>#N/A</v>
      </c>
      <c r="AD773" s="323" t="e">
        <f t="shared" ref="AD773:AD836" ca="1" si="374">IF(ABS(t-ROUND(t,0))&lt;0.001,pos_x,NA())</f>
        <v>#N/A</v>
      </c>
      <c r="AE773" s="324" t="e">
        <f t="shared" ca="1" si="353"/>
        <v>#N/A</v>
      </c>
      <c r="AG773" s="306">
        <f t="shared" ref="AG773:AG836" ca="1" si="375">IF(AND(L772&lt;L_rampe,Poussee&lt;Poids*SIN(M772)),0,(-W772+Poussee)/m-Poids*SIN(M772)/m)</f>
        <v>5.4885002362270132</v>
      </c>
      <c r="AH773" s="304">
        <f t="shared" ref="AH773:AH836" ca="1" si="376">IF(AND(L772&lt;L_rampe,Poussee&lt;Poids*SIN(M772)), g*SIN(M772), (-W772+Poussee)/m)</f>
        <v>-4.2533398074396942</v>
      </c>
    </row>
    <row r="774" spans="1:34" x14ac:dyDescent="0.25">
      <c r="A774" s="347">
        <f t="shared" ca="1" si="354"/>
        <v>0.1</v>
      </c>
      <c r="B774" s="304">
        <f t="shared" ca="1" si="355"/>
        <v>32.000000000000121</v>
      </c>
      <c r="D774" s="306">
        <f t="shared" ca="1" si="356"/>
        <v>-0.50162546891629811</v>
      </c>
      <c r="E774" s="307">
        <f t="shared" ca="1" si="357"/>
        <v>-5.5352105937552549</v>
      </c>
      <c r="F774" s="304">
        <f t="shared" ca="1" si="358"/>
        <v>5.5578938842232226</v>
      </c>
      <c r="G774" s="306">
        <f t="shared" ca="1" si="359"/>
        <v>11.76354131854378</v>
      </c>
      <c r="H774" s="307">
        <f t="shared" ca="1" si="360"/>
        <v>-101.22842546878967</v>
      </c>
      <c r="I774" s="304">
        <f t="shared" ca="1" si="361"/>
        <v>101.90964148324433</v>
      </c>
      <c r="J774" s="306">
        <f t="shared" ca="1" si="362"/>
        <v>539.97541159711886</v>
      </c>
      <c r="K774" s="307">
        <f t="shared" ca="1" si="363"/>
        <v>1320.2502256240211</v>
      </c>
      <c r="L774" s="304">
        <f t="shared" ca="1" si="348"/>
        <v>1426.4060093079238</v>
      </c>
      <c r="M774" s="306">
        <f t="shared" ca="1" si="364"/>
        <v>-1.4551073438724678</v>
      </c>
      <c r="N774" s="304">
        <f t="shared" ca="1" si="365"/>
        <v>-83.371509542383777</v>
      </c>
      <c r="P774" s="310">
        <f t="shared" ca="1" si="366"/>
        <v>23</v>
      </c>
      <c r="Q774" s="304">
        <f t="shared" ca="1" si="367"/>
        <v>0</v>
      </c>
      <c r="R774" s="306">
        <f t="shared" ca="1" si="368"/>
        <v>0</v>
      </c>
      <c r="S774" s="307">
        <f t="shared" ca="1" si="369"/>
        <v>10.637999999999975</v>
      </c>
      <c r="T774" s="304">
        <f t="shared" ca="1" si="349"/>
        <v>104.35877999999975</v>
      </c>
      <c r="U774" s="311">
        <f t="shared" ca="1" si="350"/>
        <v>0</v>
      </c>
      <c r="V774" s="306">
        <f t="shared" ca="1" si="351"/>
        <v>1.0732844704659568</v>
      </c>
      <c r="W774" s="304">
        <f t="shared" ca="1" si="352"/>
        <v>46.326925427275633</v>
      </c>
      <c r="Y774" s="314" t="str">
        <f t="shared" ca="1" si="370"/>
        <v/>
      </c>
      <c r="Z774" s="315" t="str">
        <f t="shared" ca="1" si="371"/>
        <v/>
      </c>
      <c r="AA774" s="316" t="str">
        <f t="shared" ca="1" si="372"/>
        <v/>
      </c>
      <c r="AC774" s="310">
        <f t="shared" ca="1" si="373"/>
        <v>32.000000000000121</v>
      </c>
      <c r="AD774" s="323">
        <f t="shared" ca="1" si="374"/>
        <v>539.97541159711886</v>
      </c>
      <c r="AE774" s="324" t="e">
        <f t="shared" ca="1" si="353"/>
        <v>#N/A</v>
      </c>
      <c r="AG774" s="306">
        <f t="shared" ca="1" si="375"/>
        <v>5.4390280055029203</v>
      </c>
      <c r="AH774" s="304">
        <f t="shared" ca="1" si="376"/>
        <v>-4.3041204187159776</v>
      </c>
    </row>
    <row r="775" spans="1:34" x14ac:dyDescent="0.25">
      <c r="A775" s="347">
        <f t="shared" ca="1" si="354"/>
        <v>0.1</v>
      </c>
      <c r="B775" s="304">
        <f t="shared" ca="1" si="355"/>
        <v>32.100000000000122</v>
      </c>
      <c r="D775" s="306">
        <f t="shared" ca="1" si="356"/>
        <v>-0.50268543374421015</v>
      </c>
      <c r="E775" s="307">
        <f t="shared" ca="1" si="357"/>
        <v>-5.4842571317528037</v>
      </c>
      <c r="F775" s="304">
        <f t="shared" ca="1" si="358"/>
        <v>5.5072469467493557</v>
      </c>
      <c r="G775" s="306">
        <f t="shared" ca="1" si="359"/>
        <v>11.713272775169358</v>
      </c>
      <c r="H775" s="307">
        <f t="shared" ca="1" si="360"/>
        <v>-101.77685118196494</v>
      </c>
      <c r="I775" s="304">
        <f t="shared" ca="1" si="361"/>
        <v>102.44866126807788</v>
      </c>
      <c r="J775" s="306">
        <f t="shared" ca="1" si="362"/>
        <v>541.14925230180449</v>
      </c>
      <c r="K775" s="307">
        <f t="shared" ca="1" si="363"/>
        <v>1310.0999617914833</v>
      </c>
      <c r="L775" s="304">
        <f t="shared" ca="1" si="348"/>
        <v>1417.4640817857953</v>
      </c>
      <c r="M775" s="306">
        <f t="shared" ca="1" si="364"/>
        <v>-1.456212657734379</v>
      </c>
      <c r="N775" s="304">
        <f t="shared" ca="1" si="365"/>
        <v>-83.434839361708597</v>
      </c>
      <c r="P775" s="310">
        <f t="shared" ca="1" si="366"/>
        <v>23</v>
      </c>
      <c r="Q775" s="304">
        <f t="shared" ca="1" si="367"/>
        <v>0</v>
      </c>
      <c r="R775" s="306">
        <f t="shared" ca="1" si="368"/>
        <v>0</v>
      </c>
      <c r="S775" s="307">
        <f t="shared" ca="1" si="369"/>
        <v>10.637999999999975</v>
      </c>
      <c r="T775" s="304">
        <f t="shared" ca="1" si="349"/>
        <v>104.35877999999975</v>
      </c>
      <c r="U775" s="311">
        <f t="shared" ca="1" si="350"/>
        <v>0</v>
      </c>
      <c r="V775" s="306">
        <f t="shared" ca="1" si="351"/>
        <v>1.0743791717474753</v>
      </c>
      <c r="W775" s="304">
        <f t="shared" ca="1" si="352"/>
        <v>46.866038088108617</v>
      </c>
      <c r="Y775" s="314" t="str">
        <f t="shared" ca="1" si="370"/>
        <v/>
      </c>
      <c r="Z775" s="315" t="str">
        <f t="shared" ca="1" si="371"/>
        <v/>
      </c>
      <c r="AA775" s="316" t="str">
        <f t="shared" ca="1" si="372"/>
        <v/>
      </c>
      <c r="AC775" s="310" t="e">
        <f t="shared" ca="1" si="373"/>
        <v>#N/A</v>
      </c>
      <c r="AD775" s="323" t="e">
        <f t="shared" ca="1" si="374"/>
        <v>#N/A</v>
      </c>
      <c r="AE775" s="324" t="e">
        <f t="shared" ca="1" si="353"/>
        <v>#N/A</v>
      </c>
      <c r="AG775" s="306">
        <f t="shared" ca="1" si="375"/>
        <v>5.389572031156078</v>
      </c>
      <c r="AH775" s="304">
        <f t="shared" ca="1" si="376"/>
        <v>-4.3548529260458491</v>
      </c>
    </row>
    <row r="776" spans="1:34" x14ac:dyDescent="0.25">
      <c r="A776" s="347">
        <f t="shared" ca="1" si="354"/>
        <v>0.1</v>
      </c>
      <c r="B776" s="304">
        <f t="shared" ca="1" si="355"/>
        <v>32.200000000000124</v>
      </c>
      <c r="D776" s="306">
        <f t="shared" ca="1" si="356"/>
        <v>-0.50369799784703795</v>
      </c>
      <c r="E776" s="307">
        <f t="shared" ca="1" si="357"/>
        <v>-5.4333584625292355</v>
      </c>
      <c r="F776" s="304">
        <f t="shared" ca="1" si="358"/>
        <v>5.4566561056541918</v>
      </c>
      <c r="G776" s="306">
        <f t="shared" ca="1" si="359"/>
        <v>11.662902975384654</v>
      </c>
      <c r="H776" s="307">
        <f t="shared" ca="1" si="360"/>
        <v>-102.32018702821787</v>
      </c>
      <c r="I776" s="304">
        <f t="shared" ca="1" si="361"/>
        <v>102.98273631683477</v>
      </c>
      <c r="J776" s="306">
        <f t="shared" ca="1" si="362"/>
        <v>542.31806108933222</v>
      </c>
      <c r="K776" s="307">
        <f t="shared" ca="1" si="363"/>
        <v>1299.8951098809741</v>
      </c>
      <c r="L776" s="304">
        <f t="shared" ca="1" si="348"/>
        <v>1408.4871941470262</v>
      </c>
      <c r="M776" s="306">
        <f t="shared" ca="1" si="364"/>
        <v>-1.4573017799971046</v>
      </c>
      <c r="N776" s="304">
        <f t="shared" ca="1" si="365"/>
        <v>-83.497241470736512</v>
      </c>
      <c r="P776" s="310">
        <f t="shared" ca="1" si="366"/>
        <v>23</v>
      </c>
      <c r="Q776" s="304">
        <f t="shared" ca="1" si="367"/>
        <v>0</v>
      </c>
      <c r="R776" s="306">
        <f t="shared" ca="1" si="368"/>
        <v>0</v>
      </c>
      <c r="S776" s="307">
        <f t="shared" ca="1" si="369"/>
        <v>10.637999999999975</v>
      </c>
      <c r="T776" s="304">
        <f t="shared" ca="1" si="349"/>
        <v>104.35877999999975</v>
      </c>
      <c r="U776" s="311">
        <f t="shared" ca="1" si="350"/>
        <v>0</v>
      </c>
      <c r="V776" s="306">
        <f t="shared" ca="1" si="351"/>
        <v>1.0754808120988826</v>
      </c>
      <c r="W776" s="304">
        <f t="shared" ca="1" si="352"/>
        <v>47.404503914239427</v>
      </c>
      <c r="Y776" s="314" t="str">
        <f t="shared" ca="1" si="370"/>
        <v/>
      </c>
      <c r="Z776" s="315" t="str">
        <f t="shared" ca="1" si="371"/>
        <v/>
      </c>
      <c r="AA776" s="316" t="str">
        <f t="shared" ca="1" si="372"/>
        <v/>
      </c>
      <c r="AC776" s="310" t="e">
        <f t="shared" ca="1" si="373"/>
        <v>#N/A</v>
      </c>
      <c r="AD776" s="323" t="e">
        <f t="shared" ca="1" si="374"/>
        <v>#N/A</v>
      </c>
      <c r="AE776" s="324" t="e">
        <f t="shared" ca="1" si="353"/>
        <v>#N/A</v>
      </c>
      <c r="AG776" s="306">
        <f t="shared" ca="1" si="375"/>
        <v>5.3401397035579157</v>
      </c>
      <c r="AH776" s="304">
        <f t="shared" ca="1" si="376"/>
        <v>-4.4055309351484047</v>
      </c>
    </row>
    <row r="777" spans="1:34" x14ac:dyDescent="0.25">
      <c r="A777" s="347">
        <f t="shared" ca="1" si="354"/>
        <v>0.1</v>
      </c>
      <c r="B777" s="304">
        <f t="shared" ca="1" si="355"/>
        <v>32.300000000000125</v>
      </c>
      <c r="D777" s="306">
        <f t="shared" ca="1" si="356"/>
        <v>-0.50466345390040879</v>
      </c>
      <c r="E777" s="307">
        <f t="shared" ca="1" si="357"/>
        <v>-5.3825209153861451</v>
      </c>
      <c r="F777" s="304">
        <f t="shared" ca="1" si="358"/>
        <v>5.4061276905260014</v>
      </c>
      <c r="G777" s="306">
        <f t="shared" ca="1" si="359"/>
        <v>11.612436629994614</v>
      </c>
      <c r="H777" s="307">
        <f t="shared" ca="1" si="360"/>
        <v>-102.85843911975648</v>
      </c>
      <c r="I777" s="304">
        <f t="shared" ca="1" si="361"/>
        <v>103.51186976689337</v>
      </c>
      <c r="J777" s="306">
        <f t="shared" ca="1" si="362"/>
        <v>543.48182806960119</v>
      </c>
      <c r="K777" s="307">
        <f t="shared" ca="1" si="363"/>
        <v>1289.6361785735753</v>
      </c>
      <c r="L777" s="304">
        <f t="shared" ca="1" si="348"/>
        <v>1399.4763201025339</v>
      </c>
      <c r="M777" s="306">
        <f t="shared" ca="1" si="364"/>
        <v>-1.4583750801046971</v>
      </c>
      <c r="N777" s="304">
        <f t="shared" ca="1" si="365"/>
        <v>-83.558737037052495</v>
      </c>
      <c r="P777" s="310">
        <f t="shared" ca="1" si="366"/>
        <v>23</v>
      </c>
      <c r="Q777" s="304">
        <f t="shared" ca="1" si="367"/>
        <v>0</v>
      </c>
      <c r="R777" s="306">
        <f t="shared" ca="1" si="368"/>
        <v>0</v>
      </c>
      <c r="S777" s="307">
        <f t="shared" ca="1" si="369"/>
        <v>10.637999999999975</v>
      </c>
      <c r="T777" s="304">
        <f t="shared" ca="1" si="349"/>
        <v>104.35877999999975</v>
      </c>
      <c r="U777" s="311">
        <f t="shared" ca="1" si="350"/>
        <v>0</v>
      </c>
      <c r="V777" s="306">
        <f t="shared" ca="1" si="351"/>
        <v>1.0765893549799048</v>
      </c>
      <c r="W777" s="304">
        <f t="shared" ca="1" si="352"/>
        <v>47.942256771247706</v>
      </c>
      <c r="Y777" s="314" t="str">
        <f t="shared" ca="1" si="370"/>
        <v/>
      </c>
      <c r="Z777" s="315" t="str">
        <f t="shared" ca="1" si="371"/>
        <v/>
      </c>
      <c r="AA777" s="316" t="str">
        <f t="shared" ca="1" si="372"/>
        <v/>
      </c>
      <c r="AC777" s="310" t="e">
        <f t="shared" ca="1" si="373"/>
        <v>#N/A</v>
      </c>
      <c r="AD777" s="323" t="e">
        <f t="shared" ca="1" si="374"/>
        <v>#N/A</v>
      </c>
      <c r="AE777" s="324" t="e">
        <f t="shared" ca="1" si="353"/>
        <v>#N/A</v>
      </c>
      <c r="AG777" s="306">
        <f t="shared" ca="1" si="375"/>
        <v>5.2907382861847054</v>
      </c>
      <c r="AH777" s="304">
        <f t="shared" ca="1" si="376"/>
        <v>-4.4561481400864391</v>
      </c>
    </row>
    <row r="778" spans="1:34" x14ac:dyDescent="0.25">
      <c r="A778" s="347">
        <f t="shared" ca="1" si="354"/>
        <v>0.1</v>
      </c>
      <c r="B778" s="304">
        <f t="shared" ca="1" si="355"/>
        <v>32.400000000000126</v>
      </c>
      <c r="D778" s="306">
        <f t="shared" ca="1" si="356"/>
        <v>-0.50558210199846998</v>
      </c>
      <c r="E778" s="307">
        <f t="shared" ca="1" si="357"/>
        <v>-5.3317507302365135</v>
      </c>
      <c r="F778" s="304">
        <f t="shared" ca="1" si="358"/>
        <v>5.3556679425855735</v>
      </c>
      <c r="G778" s="306">
        <f t="shared" ca="1" si="359"/>
        <v>11.561878419794766</v>
      </c>
      <c r="H778" s="307">
        <f t="shared" ca="1" si="360"/>
        <v>-103.39161419278014</v>
      </c>
      <c r="I778" s="304">
        <f t="shared" ca="1" si="361"/>
        <v>104.03606546761949</v>
      </c>
      <c r="J778" s="306">
        <f t="shared" ca="1" si="362"/>
        <v>544.64054382209065</v>
      </c>
      <c r="K778" s="307">
        <f t="shared" ca="1" si="363"/>
        <v>1279.3236759079484</v>
      </c>
      <c r="L778" s="304">
        <f t="shared" ca="1" si="348"/>
        <v>1390.4324470154772</v>
      </c>
      <c r="M778" s="306">
        <f t="shared" ca="1" si="364"/>
        <v>-1.4594329161776209</v>
      </c>
      <c r="N778" s="304">
        <f t="shared" ca="1" si="365"/>
        <v>-83.619346579447722</v>
      </c>
      <c r="P778" s="310">
        <f t="shared" ca="1" si="366"/>
        <v>23</v>
      </c>
      <c r="Q778" s="304">
        <f t="shared" ca="1" si="367"/>
        <v>0</v>
      </c>
      <c r="R778" s="306">
        <f t="shared" ca="1" si="368"/>
        <v>0</v>
      </c>
      <c r="S778" s="307">
        <f t="shared" ca="1" si="369"/>
        <v>10.637999999999975</v>
      </c>
      <c r="T778" s="304">
        <f t="shared" ca="1" si="349"/>
        <v>104.35877999999975</v>
      </c>
      <c r="U778" s="311">
        <f t="shared" ca="1" si="350"/>
        <v>0</v>
      </c>
      <c r="V778" s="306">
        <f t="shared" ca="1" si="351"/>
        <v>1.0777047638490918</v>
      </c>
      <c r="W778" s="304">
        <f t="shared" ca="1" si="352"/>
        <v>48.479231480656054</v>
      </c>
      <c r="Y778" s="314" t="str">
        <f t="shared" ca="1" si="370"/>
        <v/>
      </c>
      <c r="Z778" s="315" t="str">
        <f t="shared" ca="1" si="371"/>
        <v/>
      </c>
      <c r="AA778" s="316" t="str">
        <f t="shared" ca="1" si="372"/>
        <v/>
      </c>
      <c r="AC778" s="310" t="e">
        <f t="shared" ca="1" si="373"/>
        <v>#N/A</v>
      </c>
      <c r="AD778" s="323" t="e">
        <f t="shared" ca="1" si="374"/>
        <v>#N/A</v>
      </c>
      <c r="AE778" s="324" t="e">
        <f t="shared" ca="1" si="353"/>
        <v>#N/A</v>
      </c>
      <c r="AG778" s="306">
        <f t="shared" ca="1" si="375"/>
        <v>5.2413749166045607</v>
      </c>
      <c r="AH778" s="304">
        <f t="shared" ca="1" si="376"/>
        <v>-4.506698324050368</v>
      </c>
    </row>
    <row r="779" spans="1:34" x14ac:dyDescent="0.25">
      <c r="A779" s="347">
        <f t="shared" ca="1" si="354"/>
        <v>0.1</v>
      </c>
      <c r="B779" s="304">
        <f t="shared" ca="1" si="355"/>
        <v>32.500000000000128</v>
      </c>
      <c r="D779" s="306">
        <f t="shared" ca="1" si="356"/>
        <v>-0.50645424943972583</v>
      </c>
      <c r="E779" s="307">
        <f t="shared" ca="1" si="357"/>
        <v>-5.28105405686357</v>
      </c>
      <c r="F779" s="304">
        <f t="shared" ca="1" si="358"/>
        <v>5.3052830139673723</v>
      </c>
      <c r="G779" s="306">
        <f t="shared" ca="1" si="359"/>
        <v>11.511232994850793</v>
      </c>
      <c r="H779" s="307">
        <f t="shared" ca="1" si="360"/>
        <v>-103.9197195984665</v>
      </c>
      <c r="I779" s="304">
        <f t="shared" ca="1" si="361"/>
        <v>104.55532796795028</v>
      </c>
      <c r="J779" s="306">
        <f t="shared" ca="1" si="362"/>
        <v>545.79419939282297</v>
      </c>
      <c r="K779" s="307">
        <f t="shared" ca="1" si="363"/>
        <v>1268.9581092183862</v>
      </c>
      <c r="L779" s="304">
        <f t="shared" ca="1" si="348"/>
        <v>1381.3565763559945</v>
      </c>
      <c r="M779" s="306">
        <f t="shared" ca="1" si="364"/>
        <v>-1.4604756354397705</v>
      </c>
      <c r="N779" s="304">
        <f t="shared" ca="1" si="365"/>
        <v>-83.679089992385897</v>
      </c>
      <c r="P779" s="310">
        <f t="shared" ca="1" si="366"/>
        <v>23</v>
      </c>
      <c r="Q779" s="304">
        <f t="shared" ca="1" si="367"/>
        <v>0</v>
      </c>
      <c r="R779" s="306">
        <f t="shared" ca="1" si="368"/>
        <v>0</v>
      </c>
      <c r="S779" s="307">
        <f t="shared" ca="1" si="369"/>
        <v>10.637999999999975</v>
      </c>
      <c r="T779" s="304">
        <f t="shared" ca="1" si="349"/>
        <v>104.35877999999975</v>
      </c>
      <c r="U779" s="311">
        <f t="shared" ca="1" si="350"/>
        <v>0</v>
      </c>
      <c r="V779" s="306">
        <f t="shared" ca="1" si="351"/>
        <v>1.0788270021681237</v>
      </c>
      <c r="W779" s="304">
        <f t="shared" ca="1" si="352"/>
        <v>49.015363827202648</v>
      </c>
      <c r="Y779" s="314" t="str">
        <f t="shared" ca="1" si="370"/>
        <v/>
      </c>
      <c r="Z779" s="315" t="str">
        <f t="shared" ca="1" si="371"/>
        <v/>
      </c>
      <c r="AA779" s="316" t="str">
        <f t="shared" ca="1" si="372"/>
        <v/>
      </c>
      <c r="AC779" s="310" t="e">
        <f t="shared" ca="1" si="373"/>
        <v>#N/A</v>
      </c>
      <c r="AD779" s="323" t="e">
        <f t="shared" ca="1" si="374"/>
        <v>#N/A</v>
      </c>
      <c r="AE779" s="324" t="e">
        <f t="shared" ca="1" si="353"/>
        <v>#N/A</v>
      </c>
      <c r="AG779" s="306">
        <f t="shared" ca="1" si="375"/>
        <v>5.1920566074210628</v>
      </c>
      <c r="AH779" s="304">
        <f t="shared" ca="1" si="376"/>
        <v>-4.5571753600917626</v>
      </c>
    </row>
    <row r="780" spans="1:34" x14ac:dyDescent="0.25">
      <c r="A780" s="347">
        <f t="shared" ca="1" si="354"/>
        <v>0.1</v>
      </c>
      <c r="B780" s="304">
        <f t="shared" ca="1" si="355"/>
        <v>32.600000000000129</v>
      </c>
      <c r="D780" s="306">
        <f t="shared" ca="1" si="356"/>
        <v>-0.50728021051401107</v>
      </c>
      <c r="E780" s="307">
        <f t="shared" ca="1" si="357"/>
        <v>-5.2304369542299955</v>
      </c>
      <c r="F780" s="304">
        <f t="shared" ca="1" si="358"/>
        <v>5.2549789670515237</v>
      </c>
      <c r="G780" s="306">
        <f t="shared" ca="1" si="359"/>
        <v>11.460504973799392</v>
      </c>
      <c r="H780" s="307">
        <f t="shared" ca="1" si="360"/>
        <v>-104.4427632938895</v>
      </c>
      <c r="I780" s="304">
        <f t="shared" ca="1" si="361"/>
        <v>105.069662504064</v>
      </c>
      <c r="J780" s="306">
        <f t="shared" ca="1" si="362"/>
        <v>546.94278629125552</v>
      </c>
      <c r="K780" s="307">
        <f t="shared" ca="1" si="363"/>
        <v>1258.5399850737683</v>
      </c>
      <c r="L780" s="304">
        <f t="shared" ca="1" si="348"/>
        <v>1372.2497241776086</v>
      </c>
      <c r="M780" s="306">
        <f t="shared" ca="1" si="364"/>
        <v>-1.4615035746264351</v>
      </c>
      <c r="N780" s="304">
        <f t="shared" ca="1" si="365"/>
        <v>-83.737986569377881</v>
      </c>
      <c r="P780" s="310">
        <f t="shared" ca="1" si="366"/>
        <v>23</v>
      </c>
      <c r="Q780" s="304">
        <f t="shared" ca="1" si="367"/>
        <v>0</v>
      </c>
      <c r="R780" s="306">
        <f t="shared" ca="1" si="368"/>
        <v>0</v>
      </c>
      <c r="S780" s="307">
        <f t="shared" ca="1" si="369"/>
        <v>10.637999999999975</v>
      </c>
      <c r="T780" s="304">
        <f t="shared" ca="1" si="349"/>
        <v>104.35877999999975</v>
      </c>
      <c r="U780" s="311">
        <f t="shared" ca="1" si="350"/>
        <v>0</v>
      </c>
      <c r="V780" s="306">
        <f t="shared" ca="1" si="351"/>
        <v>1.0799560334060718</v>
      </c>
      <c r="W780" s="304">
        <f t="shared" ca="1" si="352"/>
        <v>49.550590565587449</v>
      </c>
      <c r="Y780" s="314" t="str">
        <f t="shared" ca="1" si="370"/>
        <v/>
      </c>
      <c r="Z780" s="315" t="str">
        <f t="shared" ca="1" si="371"/>
        <v/>
      </c>
      <c r="AA780" s="316" t="str">
        <f t="shared" ca="1" si="372"/>
        <v/>
      </c>
      <c r="AC780" s="310" t="e">
        <f t="shared" ca="1" si="373"/>
        <v>#N/A</v>
      </c>
      <c r="AD780" s="323" t="e">
        <f t="shared" ca="1" si="374"/>
        <v>#N/A</v>
      </c>
      <c r="AE780" s="324" t="e">
        <f t="shared" ca="1" si="353"/>
        <v>#N/A</v>
      </c>
      <c r="AG780" s="306">
        <f t="shared" ca="1" si="375"/>
        <v>5.1427902471785991</v>
      </c>
      <c r="AH780" s="304">
        <f t="shared" ca="1" si="376"/>
        <v>-4.6075732118069901</v>
      </c>
    </row>
    <row r="781" spans="1:34" x14ac:dyDescent="0.25">
      <c r="A781" s="347">
        <f t="shared" ca="1" si="354"/>
        <v>0.1</v>
      </c>
      <c r="B781" s="304">
        <f t="shared" ca="1" si="355"/>
        <v>32.700000000000131</v>
      </c>
      <c r="D781" s="306">
        <f t="shared" ca="1" si="356"/>
        <v>-0.50806030629064292</v>
      </c>
      <c r="E781" s="307">
        <f t="shared" ca="1" si="357"/>
        <v>-5.1799053898370166</v>
      </c>
      <c r="F781" s="304">
        <f t="shared" ca="1" si="358"/>
        <v>5.2047617738462071</v>
      </c>
      <c r="G781" s="306">
        <f t="shared" ca="1" si="359"/>
        <v>11.409698943170328</v>
      </c>
      <c r="H781" s="307">
        <f t="shared" ca="1" si="360"/>
        <v>-104.96075383287319</v>
      </c>
      <c r="I781" s="304">
        <f t="shared" ca="1" si="361"/>
        <v>105.57907498713362</v>
      </c>
      <c r="J781" s="306">
        <f t="shared" ca="1" si="362"/>
        <v>548.08629648710405</v>
      </c>
      <c r="K781" s="307">
        <f t="shared" ca="1" si="363"/>
        <v>1248.0698092174302</v>
      </c>
      <c r="L781" s="304">
        <f t="shared" ca="1" si="348"/>
        <v>1363.1129216161744</v>
      </c>
      <c r="M781" s="306">
        <f t="shared" ca="1" si="364"/>
        <v>-1.4625170603741902</v>
      </c>
      <c r="N781" s="304">
        <f t="shared" ca="1" si="365"/>
        <v>-83.796055025320911</v>
      </c>
      <c r="P781" s="310">
        <f t="shared" ca="1" si="366"/>
        <v>23</v>
      </c>
      <c r="Q781" s="304">
        <f t="shared" ca="1" si="367"/>
        <v>0</v>
      </c>
      <c r="R781" s="306">
        <f t="shared" ca="1" si="368"/>
        <v>0</v>
      </c>
      <c r="S781" s="307">
        <f t="shared" ca="1" si="369"/>
        <v>10.637999999999975</v>
      </c>
      <c r="T781" s="304">
        <f t="shared" ca="1" si="349"/>
        <v>104.35877999999975</v>
      </c>
      <c r="U781" s="311">
        <f t="shared" ca="1" si="350"/>
        <v>0</v>
      </c>
      <c r="V781" s="306">
        <f t="shared" ca="1" si="351"/>
        <v>1.0810918210436111</v>
      </c>
      <c r="W781" s="304">
        <f t="shared" ca="1" si="352"/>
        <v>50.084849426698327</v>
      </c>
      <c r="Y781" s="314" t="str">
        <f t="shared" ca="1" si="370"/>
        <v/>
      </c>
      <c r="Z781" s="315" t="str">
        <f t="shared" ca="1" si="371"/>
        <v/>
      </c>
      <c r="AA781" s="316" t="str">
        <f t="shared" ca="1" si="372"/>
        <v/>
      </c>
      <c r="AC781" s="310" t="e">
        <f t="shared" ca="1" si="373"/>
        <v>#N/A</v>
      </c>
      <c r="AD781" s="323" t="e">
        <f t="shared" ca="1" si="374"/>
        <v>#N/A</v>
      </c>
      <c r="AE781" s="324" t="e">
        <f t="shared" ca="1" si="353"/>
        <v>#N/A</v>
      </c>
      <c r="AG781" s="306">
        <f t="shared" ca="1" si="375"/>
        <v>5.0935826012342584</v>
      </c>
      <c r="AH781" s="304">
        <f t="shared" ca="1" si="376"/>
        <v>-4.6578859339713823</v>
      </c>
    </row>
    <row r="782" spans="1:34" x14ac:dyDescent="0.25">
      <c r="A782" s="347">
        <f t="shared" ca="1" si="354"/>
        <v>0.1</v>
      </c>
      <c r="B782" s="304">
        <f t="shared" ca="1" si="355"/>
        <v>32.800000000000132</v>
      </c>
      <c r="D782" s="306">
        <f t="shared" ca="1" si="356"/>
        <v>-0.50879486440781085</v>
      </c>
      <c r="E782" s="307">
        <f t="shared" ca="1" si="357"/>
        <v>-5.1294652391328146</v>
      </c>
      <c r="F782" s="304">
        <f t="shared" ca="1" si="358"/>
        <v>5.1546373154199339</v>
      </c>
      <c r="G782" s="306">
        <f t="shared" ca="1" si="359"/>
        <v>11.358819456729547</v>
      </c>
      <c r="H782" s="307">
        <f t="shared" ca="1" si="360"/>
        <v>-105.47370035678648</v>
      </c>
      <c r="I782" s="304">
        <f t="shared" ca="1" si="361"/>
        <v>106.08357199116061</v>
      </c>
      <c r="J782" s="306">
        <f t="shared" ca="1" si="362"/>
        <v>549.22472240709908</v>
      </c>
      <c r="K782" s="307">
        <f t="shared" ca="1" si="363"/>
        <v>1237.5480865079473</v>
      </c>
      <c r="L782" s="304">
        <f t="shared" ca="1" si="348"/>
        <v>1353.9472154122689</v>
      </c>
      <c r="M782" s="306">
        <f t="shared" ca="1" si="364"/>
        <v>-1.4635164095936386</v>
      </c>
      <c r="N782" s="304">
        <f t="shared" ca="1" si="365"/>
        <v>-83.853313517855</v>
      </c>
      <c r="P782" s="310">
        <f t="shared" ca="1" si="366"/>
        <v>23</v>
      </c>
      <c r="Q782" s="304">
        <f t="shared" ca="1" si="367"/>
        <v>0</v>
      </c>
      <c r="R782" s="306">
        <f t="shared" ca="1" si="368"/>
        <v>0</v>
      </c>
      <c r="S782" s="307">
        <f t="shared" ca="1" si="369"/>
        <v>10.637999999999975</v>
      </c>
      <c r="T782" s="304">
        <f t="shared" ca="1" si="349"/>
        <v>104.35877999999975</v>
      </c>
      <c r="U782" s="311">
        <f t="shared" ca="1" si="350"/>
        <v>0</v>
      </c>
      <c r="V782" s="306">
        <f t="shared" ca="1" si="351"/>
        <v>1.0822343285771925</v>
      </c>
      <c r="W782" s="304">
        <f t="shared" ca="1" si="352"/>
        <v>50.618079123322438</v>
      </c>
      <c r="Y782" s="314" t="str">
        <f t="shared" ca="1" si="370"/>
        <v/>
      </c>
      <c r="Z782" s="315" t="str">
        <f t="shared" ca="1" si="371"/>
        <v/>
      </c>
      <c r="AA782" s="316" t="str">
        <f t="shared" ca="1" si="372"/>
        <v/>
      </c>
      <c r="AC782" s="310" t="e">
        <f t="shared" ca="1" si="373"/>
        <v>#N/A</v>
      </c>
      <c r="AD782" s="323" t="e">
        <f t="shared" ca="1" si="374"/>
        <v>#N/A</v>
      </c>
      <c r="AE782" s="324" t="e">
        <f t="shared" ca="1" si="353"/>
        <v>#N/A</v>
      </c>
      <c r="AG782" s="306">
        <f t="shared" ca="1" si="375"/>
        <v>5.0444403126005684</v>
      </c>
      <c r="AH782" s="304">
        <f t="shared" ca="1" si="376"/>
        <v>-4.7081076731245011</v>
      </c>
    </row>
    <row r="783" spans="1:34" x14ac:dyDescent="0.25">
      <c r="A783" s="347">
        <f t="shared" ca="1" si="354"/>
        <v>0.1</v>
      </c>
      <c r="B783" s="304">
        <f t="shared" ca="1" si="355"/>
        <v>32.900000000000134</v>
      </c>
      <c r="D783" s="306">
        <f t="shared" ca="1" si="356"/>
        <v>-0.50948421886325435</v>
      </c>
      <c r="E783" s="307">
        <f t="shared" ca="1" si="357"/>
        <v>-5.0791222849697109</v>
      </c>
      <c r="F783" s="304">
        <f t="shared" ca="1" si="358"/>
        <v>5.1046113813831742</v>
      </c>
      <c r="G783" s="306">
        <f t="shared" ca="1" si="359"/>
        <v>11.307871034843222</v>
      </c>
      <c r="H783" s="307">
        <f t="shared" ca="1" si="360"/>
        <v>-105.98161258528346</v>
      </c>
      <c r="I783" s="304">
        <f t="shared" ca="1" si="361"/>
        <v>106.58316074088701</v>
      </c>
      <c r="J783" s="306">
        <f t="shared" ca="1" si="362"/>
        <v>550.35805693167777</v>
      </c>
      <c r="K783" s="307">
        <f t="shared" ca="1" si="363"/>
        <v>1226.9753208608438</v>
      </c>
      <c r="L783" s="304">
        <f t="shared" ca="1" si="348"/>
        <v>1344.7536684579754</v>
      </c>
      <c r="M783" s="306">
        <f t="shared" ca="1" si="364"/>
        <v>-1.4645019298258684</v>
      </c>
      <c r="N783" s="304">
        <f t="shared" ca="1" si="365"/>
        <v>-83.909779667786509</v>
      </c>
      <c r="P783" s="310">
        <f t="shared" ca="1" si="366"/>
        <v>23</v>
      </c>
      <c r="Q783" s="304">
        <f t="shared" ca="1" si="367"/>
        <v>0</v>
      </c>
      <c r="R783" s="306">
        <f t="shared" ca="1" si="368"/>
        <v>0</v>
      </c>
      <c r="S783" s="307">
        <f t="shared" ca="1" si="369"/>
        <v>10.637999999999975</v>
      </c>
      <c r="T783" s="304">
        <f t="shared" ca="1" si="349"/>
        <v>104.35877999999975</v>
      </c>
      <c r="U783" s="311">
        <f t="shared" ca="1" si="350"/>
        <v>0</v>
      </c>
      <c r="V783" s="306">
        <f t="shared" ca="1" si="351"/>
        <v>1.0833835195231594</v>
      </c>
      <c r="W783" s="304">
        <f t="shared" ca="1" si="352"/>
        <v>51.150219355348455</v>
      </c>
      <c r="Y783" s="314" t="str">
        <f t="shared" ca="1" si="370"/>
        <v/>
      </c>
      <c r="Z783" s="315" t="str">
        <f t="shared" ca="1" si="371"/>
        <v/>
      </c>
      <c r="AA783" s="316" t="str">
        <f t="shared" ca="1" si="372"/>
        <v/>
      </c>
      <c r="AC783" s="310" t="e">
        <f t="shared" ca="1" si="373"/>
        <v>#N/A</v>
      </c>
      <c r="AD783" s="323" t="e">
        <f t="shared" ca="1" si="374"/>
        <v>#N/A</v>
      </c>
      <c r="AE783" s="324" t="e">
        <f t="shared" ca="1" si="353"/>
        <v>#N/A</v>
      </c>
      <c r="AG783" s="306">
        <f t="shared" ca="1" si="375"/>
        <v>4.9953699027631462</v>
      </c>
      <c r="AH783" s="304">
        <f t="shared" ca="1" si="376"/>
        <v>-4.7582326681070271</v>
      </c>
    </row>
    <row r="784" spans="1:34" x14ac:dyDescent="0.25">
      <c r="A784" s="347">
        <f t="shared" ca="1" si="354"/>
        <v>0.1</v>
      </c>
      <c r="B784" s="304">
        <f t="shared" ca="1" si="355"/>
        <v>33.000000000000135</v>
      </c>
      <c r="D784" s="306">
        <f t="shared" ca="1" si="356"/>
        <v>-0.510128709806286</v>
      </c>
      <c r="E784" s="307">
        <f t="shared" ca="1" si="357"/>
        <v>-5.0288822171095893</v>
      </c>
      <c r="F784" s="304">
        <f t="shared" ca="1" si="358"/>
        <v>5.0546896694188543</v>
      </c>
      <c r="G784" s="306">
        <f t="shared" ca="1" si="359"/>
        <v>11.256858163862594</v>
      </c>
      <c r="H784" s="307">
        <f t="shared" ca="1" si="360"/>
        <v>-106.48450080699442</v>
      </c>
      <c r="I784" s="304">
        <f t="shared" ca="1" si="361"/>
        <v>107.077849099784</v>
      </c>
      <c r="J784" s="306">
        <f t="shared" ca="1" si="362"/>
        <v>551.486293391613</v>
      </c>
      <c r="K784" s="307">
        <f t="shared" ca="1" si="363"/>
        <v>1216.3520151912298</v>
      </c>
      <c r="L784" s="304">
        <f t="shared" ca="1" si="348"/>
        <v>1335.5333603690274</v>
      </c>
      <c r="M784" s="306">
        <f t="shared" ca="1" si="364"/>
        <v>-1.4654739195834479</v>
      </c>
      <c r="N784" s="304">
        <f t="shared" ca="1" si="365"/>
        <v>-83.965470578625769</v>
      </c>
      <c r="P784" s="310">
        <f t="shared" ca="1" si="366"/>
        <v>23</v>
      </c>
      <c r="Q784" s="304">
        <f t="shared" ca="1" si="367"/>
        <v>0</v>
      </c>
      <c r="R784" s="306">
        <f t="shared" ca="1" si="368"/>
        <v>0</v>
      </c>
      <c r="S784" s="307">
        <f t="shared" ca="1" si="369"/>
        <v>10.637999999999975</v>
      </c>
      <c r="T784" s="304">
        <f t="shared" ca="1" si="349"/>
        <v>104.35877999999975</v>
      </c>
      <c r="U784" s="311">
        <f t="shared" ca="1" si="350"/>
        <v>0</v>
      </c>
      <c r="V784" s="306">
        <f t="shared" ca="1" si="351"/>
        <v>1.0845393574218252</v>
      </c>
      <c r="W784" s="304">
        <f t="shared" ca="1" si="352"/>
        <v>51.681210814466588</v>
      </c>
      <c r="Y784" s="314" t="str">
        <f t="shared" ca="1" si="370"/>
        <v/>
      </c>
      <c r="Z784" s="315" t="str">
        <f t="shared" ca="1" si="371"/>
        <v/>
      </c>
      <c r="AA784" s="316" t="str">
        <f t="shared" ca="1" si="372"/>
        <v/>
      </c>
      <c r="AC784" s="310">
        <f t="shared" ca="1" si="373"/>
        <v>33.000000000000135</v>
      </c>
      <c r="AD784" s="323">
        <f t="shared" ca="1" si="374"/>
        <v>551.486293391613</v>
      </c>
      <c r="AE784" s="324" t="e">
        <f t="shared" ca="1" si="353"/>
        <v>#N/A</v>
      </c>
      <c r="AG784" s="306">
        <f t="shared" ca="1" si="375"/>
        <v>4.9463777724770237</v>
      </c>
      <c r="AH784" s="304">
        <f t="shared" ca="1" si="376"/>
        <v>-4.8082552505497818</v>
      </c>
    </row>
    <row r="785" spans="1:34" x14ac:dyDescent="0.25">
      <c r="A785" s="347">
        <f t="shared" ca="1" si="354"/>
        <v>0.1</v>
      </c>
      <c r="B785" s="304">
        <f t="shared" ca="1" si="355"/>
        <v>33.100000000000136</v>
      </c>
      <c r="D785" s="306">
        <f t="shared" ca="1" si="356"/>
        <v>-0.51072868333121535</v>
      </c>
      <c r="E785" s="307">
        <f t="shared" ca="1" si="357"/>
        <v>-4.9787506317769132</v>
      </c>
      <c r="F785" s="304">
        <f t="shared" ca="1" si="358"/>
        <v>5.0048777848611099</v>
      </c>
      <c r="G785" s="306">
        <f t="shared" ca="1" si="359"/>
        <v>11.205785295529472</v>
      </c>
      <c r="H785" s="307">
        <f t="shared" ca="1" si="360"/>
        <v>-106.98237587017211</v>
      </c>
      <c r="I785" s="304">
        <f t="shared" ca="1" si="361"/>
        <v>107.56764555811513</v>
      </c>
      <c r="J785" s="306">
        <f t="shared" ca="1" si="362"/>
        <v>552.60942556458258</v>
      </c>
      <c r="K785" s="307">
        <f t="shared" ca="1" si="363"/>
        <v>1205.6786713573715</v>
      </c>
      <c r="L785" s="304">
        <f t="shared" ca="1" si="348"/>
        <v>1326.2873880833274</v>
      </c>
      <c r="M785" s="306">
        <f t="shared" ca="1" si="364"/>
        <v>-1.4664326686767328</v>
      </c>
      <c r="N785" s="304">
        <f t="shared" ca="1" si="365"/>
        <v>-84.020402855282981</v>
      </c>
      <c r="P785" s="310">
        <f t="shared" ca="1" si="366"/>
        <v>23</v>
      </c>
      <c r="Q785" s="304">
        <f t="shared" ca="1" si="367"/>
        <v>0</v>
      </c>
      <c r="R785" s="306">
        <f t="shared" ca="1" si="368"/>
        <v>0</v>
      </c>
      <c r="S785" s="307">
        <f t="shared" ca="1" si="369"/>
        <v>10.637999999999975</v>
      </c>
      <c r="T785" s="304">
        <f t="shared" ca="1" si="349"/>
        <v>104.35877999999975</v>
      </c>
      <c r="U785" s="311">
        <f t="shared" ca="1" si="350"/>
        <v>0</v>
      </c>
      <c r="V785" s="306">
        <f t="shared" ca="1" si="351"/>
        <v>1.0857018058414973</v>
      </c>
      <c r="W785" s="304">
        <f t="shared" ca="1" si="352"/>
        <v>52.210995188372117</v>
      </c>
      <c r="Y785" s="314" t="str">
        <f t="shared" ca="1" si="370"/>
        <v/>
      </c>
      <c r="Z785" s="315" t="str">
        <f t="shared" ca="1" si="371"/>
        <v/>
      </c>
      <c r="AA785" s="316" t="str">
        <f t="shared" ca="1" si="372"/>
        <v/>
      </c>
      <c r="AC785" s="310" t="e">
        <f t="shared" ca="1" si="373"/>
        <v>#N/A</v>
      </c>
      <c r="AD785" s="323" t="e">
        <f t="shared" ca="1" si="374"/>
        <v>#N/A</v>
      </c>
      <c r="AE785" s="324" t="e">
        <f t="shared" ca="1" si="353"/>
        <v>#N/A</v>
      </c>
      <c r="AG785" s="306">
        <f t="shared" ca="1" si="375"/>
        <v>4.8974702025449508</v>
      </c>
      <c r="AH785" s="304">
        <f t="shared" ca="1" si="376"/>
        <v>-4.8581698453155395</v>
      </c>
    </row>
    <row r="786" spans="1:34" x14ac:dyDescent="0.25">
      <c r="A786" s="347">
        <f t="shared" ca="1" si="354"/>
        <v>0.1</v>
      </c>
      <c r="B786" s="304">
        <f t="shared" ca="1" si="355"/>
        <v>33.200000000000138</v>
      </c>
      <c r="D786" s="306">
        <f t="shared" ca="1" si="356"/>
        <v>-0.51128449127222042</v>
      </c>
      <c r="E786" s="307">
        <f t="shared" ca="1" si="357"/>
        <v>-4.928733031258747</v>
      </c>
      <c r="F786" s="304">
        <f t="shared" ca="1" si="358"/>
        <v>4.9551812403217435</v>
      </c>
      <c r="G786" s="306">
        <f t="shared" ca="1" si="359"/>
        <v>11.154656846402249</v>
      </c>
      <c r="H786" s="307">
        <f t="shared" ca="1" si="360"/>
        <v>-107.47524917329798</v>
      </c>
      <c r="I786" s="304">
        <f t="shared" ca="1" si="361"/>
        <v>108.05255922107295</v>
      </c>
      <c r="J786" s="306">
        <f t="shared" ca="1" si="362"/>
        <v>553.72744767167922</v>
      </c>
      <c r="K786" s="307">
        <f t="shared" ca="1" si="363"/>
        <v>1194.955790105198</v>
      </c>
      <c r="L786" s="304">
        <f t="shared" ca="1" si="348"/>
        <v>1317.0168664868838</v>
      </c>
      <c r="M786" s="306">
        <f t="shared" ca="1" si="364"/>
        <v>-1.4673784585262117</v>
      </c>
      <c r="N786" s="304">
        <f t="shared" ca="1" si="365"/>
        <v>-84.074592621964442</v>
      </c>
      <c r="P786" s="310">
        <f t="shared" ca="1" si="366"/>
        <v>23</v>
      </c>
      <c r="Q786" s="304">
        <f t="shared" ca="1" si="367"/>
        <v>0</v>
      </c>
      <c r="R786" s="306">
        <f t="shared" ca="1" si="368"/>
        <v>0</v>
      </c>
      <c r="S786" s="307">
        <f t="shared" ca="1" si="369"/>
        <v>10.637999999999975</v>
      </c>
      <c r="T786" s="304">
        <f t="shared" ca="1" si="349"/>
        <v>104.35877999999975</v>
      </c>
      <c r="U786" s="311">
        <f t="shared" ca="1" si="350"/>
        <v>0</v>
      </c>
      <c r="V786" s="306">
        <f t="shared" ca="1" si="351"/>
        <v>1.0868708283824542</v>
      </c>
      <c r="W786" s="304">
        <f t="shared" ca="1" si="352"/>
        <v>52.739515164479542</v>
      </c>
      <c r="Y786" s="314" t="str">
        <f t="shared" ca="1" si="370"/>
        <v/>
      </c>
      <c r="Z786" s="315" t="str">
        <f t="shared" ca="1" si="371"/>
        <v/>
      </c>
      <c r="AA786" s="316" t="str">
        <f t="shared" ca="1" si="372"/>
        <v/>
      </c>
      <c r="AC786" s="310" t="e">
        <f t="shared" ca="1" si="373"/>
        <v>#N/A</v>
      </c>
      <c r="AD786" s="323" t="e">
        <f t="shared" ca="1" si="374"/>
        <v>#N/A</v>
      </c>
      <c r="AE786" s="324" t="e">
        <f t="shared" ca="1" si="353"/>
        <v>#N/A</v>
      </c>
      <c r="AG786" s="306">
        <f t="shared" ca="1" si="375"/>
        <v>4.8486533545809118</v>
      </c>
      <c r="AH786" s="304">
        <f t="shared" ca="1" si="376"/>
        <v>-4.9079709708941754</v>
      </c>
    </row>
    <row r="787" spans="1:34" x14ac:dyDescent="0.25">
      <c r="A787" s="347">
        <f t="shared" ca="1" si="354"/>
        <v>0.1</v>
      </c>
      <c r="B787" s="304">
        <f t="shared" ca="1" si="355"/>
        <v>33.300000000000139</v>
      </c>
      <c r="D787" s="306">
        <f t="shared" ca="1" si="356"/>
        <v>-0.51179649099973068</v>
      </c>
      <c r="E787" s="307">
        <f t="shared" ca="1" si="357"/>
        <v>-4.8788348235511423</v>
      </c>
      <c r="F787" s="304">
        <f t="shared" ca="1" si="358"/>
        <v>4.9056054553637862</v>
      </c>
      <c r="G787" s="306">
        <f t="shared" ca="1" si="359"/>
        <v>11.103477197302276</v>
      </c>
      <c r="H787" s="307">
        <f t="shared" ca="1" si="360"/>
        <v>-107.9631326556531</v>
      </c>
      <c r="I787" s="304">
        <f t="shared" ca="1" si="361"/>
        <v>108.53259979698799</v>
      </c>
      <c r="J787" s="306">
        <f t="shared" ca="1" si="362"/>
        <v>554.84035437386444</v>
      </c>
      <c r="K787" s="307">
        <f t="shared" ca="1" si="363"/>
        <v>1184.1838710137506</v>
      </c>
      <c r="L787" s="304">
        <f t="shared" ca="1" si="348"/>
        <v>1307.7229290682435</v>
      </c>
      <c r="M787" s="306">
        <f t="shared" ca="1" si="364"/>
        <v>-1.4683115624615801</v>
      </c>
      <c r="N787" s="304">
        <f t="shared" ca="1" si="365"/>
        <v>-84.128055539308093</v>
      </c>
      <c r="P787" s="310">
        <f t="shared" ca="1" si="366"/>
        <v>23</v>
      </c>
      <c r="Q787" s="304">
        <f t="shared" ca="1" si="367"/>
        <v>0</v>
      </c>
      <c r="R787" s="306">
        <f t="shared" ca="1" si="368"/>
        <v>0</v>
      </c>
      <c r="S787" s="307">
        <f t="shared" ca="1" si="369"/>
        <v>10.637999999999975</v>
      </c>
      <c r="T787" s="304">
        <f t="shared" ca="1" si="349"/>
        <v>104.35877999999975</v>
      </c>
      <c r="U787" s="311">
        <f t="shared" ca="1" si="350"/>
        <v>0</v>
      </c>
      <c r="V787" s="306">
        <f t="shared" ca="1" si="351"/>
        <v>1.0880463886808756</v>
      </c>
      <c r="W787" s="304">
        <f t="shared" ca="1" si="352"/>
        <v>53.266714433153872</v>
      </c>
      <c r="Y787" s="314" t="str">
        <f t="shared" ca="1" si="370"/>
        <v/>
      </c>
      <c r="Z787" s="315" t="str">
        <f t="shared" ca="1" si="371"/>
        <v/>
      </c>
      <c r="AA787" s="316" t="str">
        <f t="shared" ca="1" si="372"/>
        <v/>
      </c>
      <c r="AC787" s="310" t="e">
        <f t="shared" ca="1" si="373"/>
        <v>#N/A</v>
      </c>
      <c r="AD787" s="323" t="e">
        <f t="shared" ca="1" si="374"/>
        <v>#N/A</v>
      </c>
      <c r="AE787" s="324" t="e">
        <f t="shared" ca="1" si="353"/>
        <v>#N/A</v>
      </c>
      <c r="AG787" s="306">
        <f t="shared" ca="1" si="375"/>
        <v>4.7999332717616801</v>
      </c>
      <c r="AH787" s="304">
        <f t="shared" ca="1" si="376"/>
        <v>-4.9576532397518021</v>
      </c>
    </row>
    <row r="788" spans="1:34" x14ac:dyDescent="0.25">
      <c r="A788" s="347">
        <f t="shared" ca="1" si="354"/>
        <v>0.1</v>
      </c>
      <c r="B788" s="304">
        <f t="shared" ca="1" si="355"/>
        <v>33.400000000000141</v>
      </c>
      <c r="D788" s="306">
        <f t="shared" ca="1" si="356"/>
        <v>-0.51226504521836969</v>
      </c>
      <c r="E788" s="307">
        <f t="shared" ca="1" si="357"/>
        <v>-4.8290613220512393</v>
      </c>
      <c r="F788" s="304">
        <f t="shared" ca="1" si="358"/>
        <v>4.8561557562215656</v>
      </c>
      <c r="G788" s="306">
        <f t="shared" ca="1" si="359"/>
        <v>11.052250692780438</v>
      </c>
      <c r="H788" s="307">
        <f t="shared" ca="1" si="360"/>
        <v>-108.44603878785823</v>
      </c>
      <c r="I788" s="304">
        <f t="shared" ca="1" si="361"/>
        <v>109.00777758560953</v>
      </c>
      <c r="J788" s="306">
        <f t="shared" ca="1" si="362"/>
        <v>555.9481407683686</v>
      </c>
      <c r="K788" s="307">
        <f t="shared" ca="1" si="363"/>
        <v>1173.3634124415751</v>
      </c>
      <c r="L788" s="304">
        <f t="shared" ca="1" si="348"/>
        <v>1298.4067286025377</v>
      </c>
      <c r="M788" s="306">
        <f t="shared" ca="1" si="364"/>
        <v>-1.4692322460081924</v>
      </c>
      <c r="N788" s="304">
        <f t="shared" ca="1" si="365"/>
        <v>-84.180806820796121</v>
      </c>
      <c r="P788" s="310">
        <f t="shared" ca="1" si="366"/>
        <v>23</v>
      </c>
      <c r="Q788" s="304">
        <f t="shared" ca="1" si="367"/>
        <v>0</v>
      </c>
      <c r="R788" s="306">
        <f t="shared" ca="1" si="368"/>
        <v>0</v>
      </c>
      <c r="S788" s="307">
        <f t="shared" ca="1" si="369"/>
        <v>10.637999999999975</v>
      </c>
      <c r="T788" s="304">
        <f t="shared" ca="1" si="349"/>
        <v>104.35877999999975</v>
      </c>
      <c r="U788" s="311">
        <f t="shared" ca="1" si="350"/>
        <v>0</v>
      </c>
      <c r="V788" s="306">
        <f t="shared" ca="1" si="351"/>
        <v>1.0892284504127177</v>
      </c>
      <c r="W788" s="304">
        <f t="shared" ca="1" si="352"/>
        <v>53.792537690466204</v>
      </c>
      <c r="Y788" s="314" t="str">
        <f t="shared" ca="1" si="370"/>
        <v/>
      </c>
      <c r="Z788" s="315" t="str">
        <f t="shared" ca="1" si="371"/>
        <v/>
      </c>
      <c r="AA788" s="316" t="str">
        <f t="shared" ca="1" si="372"/>
        <v/>
      </c>
      <c r="AC788" s="310" t="e">
        <f t="shared" ca="1" si="373"/>
        <v>#N/A</v>
      </c>
      <c r="AD788" s="323" t="e">
        <f t="shared" ca="1" si="374"/>
        <v>#N/A</v>
      </c>
      <c r="AE788" s="324" t="e">
        <f t="shared" ca="1" si="353"/>
        <v>#N/A</v>
      </c>
      <c r="AG788" s="306">
        <f t="shared" ca="1" si="375"/>
        <v>4.7513158795690735</v>
      </c>
      <c r="AH788" s="304">
        <f t="shared" ca="1" si="376"/>
        <v>-5.0072113586345175</v>
      </c>
    </row>
    <row r="789" spans="1:34" x14ac:dyDescent="0.25">
      <c r="A789" s="347">
        <f t="shared" ca="1" si="354"/>
        <v>0.1</v>
      </c>
      <c r="B789" s="304">
        <f t="shared" ca="1" si="355"/>
        <v>33.500000000000142</v>
      </c>
      <c r="D789" s="306">
        <f t="shared" ca="1" si="356"/>
        <v>-0.51269052176651608</v>
      </c>
      <c r="E789" s="307">
        <f t="shared" ca="1" si="357"/>
        <v>-4.7794177452944098</v>
      </c>
      <c r="F789" s="304">
        <f t="shared" ca="1" si="358"/>
        <v>4.8068373755666336</v>
      </c>
      <c r="G789" s="306">
        <f t="shared" ca="1" si="359"/>
        <v>11.000981640603786</v>
      </c>
      <c r="H789" s="307">
        <f t="shared" ca="1" si="360"/>
        <v>-108.92398056238767</v>
      </c>
      <c r="I789" s="304">
        <f t="shared" ca="1" si="361"/>
        <v>109.47810346645721</v>
      </c>
      <c r="J789" s="306">
        <f t="shared" ca="1" si="362"/>
        <v>557.05080238503785</v>
      </c>
      <c r="K789" s="307">
        <f t="shared" ca="1" si="363"/>
        <v>1162.4949114740627</v>
      </c>
      <c r="L789" s="304">
        <f t="shared" ca="1" si="348"/>
        <v>1289.0694378662863</v>
      </c>
      <c r="M789" s="306">
        <f t="shared" ca="1" si="364"/>
        <v>-1.4701407671615077</v>
      </c>
      <c r="N789" s="304">
        <f t="shared" ca="1" si="365"/>
        <v>-84.232861248479438</v>
      </c>
      <c r="P789" s="310">
        <f t="shared" ca="1" si="366"/>
        <v>23</v>
      </c>
      <c r="Q789" s="304">
        <f t="shared" ca="1" si="367"/>
        <v>0</v>
      </c>
      <c r="R789" s="306">
        <f t="shared" ca="1" si="368"/>
        <v>0</v>
      </c>
      <c r="S789" s="307">
        <f t="shared" ca="1" si="369"/>
        <v>10.637999999999975</v>
      </c>
      <c r="T789" s="304">
        <f t="shared" ca="1" si="349"/>
        <v>104.35877999999975</v>
      </c>
      <c r="U789" s="311">
        <f t="shared" ca="1" si="350"/>
        <v>0</v>
      </c>
      <c r="V789" s="306">
        <f t="shared" ca="1" si="351"/>
        <v>1.0904169772975474</v>
      </c>
      <c r="W789" s="304">
        <f t="shared" ca="1" si="352"/>
        <v>54.316930640481139</v>
      </c>
      <c r="Y789" s="314" t="str">
        <f t="shared" ca="1" si="370"/>
        <v/>
      </c>
      <c r="Z789" s="315" t="str">
        <f t="shared" ca="1" si="371"/>
        <v/>
      </c>
      <c r="AA789" s="316" t="str">
        <f t="shared" ca="1" si="372"/>
        <v/>
      </c>
      <c r="AC789" s="310" t="e">
        <f t="shared" ca="1" si="373"/>
        <v>#N/A</v>
      </c>
      <c r="AD789" s="323" t="e">
        <f t="shared" ca="1" si="374"/>
        <v>#N/A</v>
      </c>
      <c r="AE789" s="324" t="e">
        <f t="shared" ca="1" si="353"/>
        <v>#N/A</v>
      </c>
      <c r="AG789" s="306">
        <f t="shared" ca="1" si="375"/>
        <v>4.7028069865252915</v>
      </c>
      <c r="AH789" s="304">
        <f t="shared" ca="1" si="376"/>
        <v>-5.0566401288274418</v>
      </c>
    </row>
    <row r="790" spans="1:34" x14ac:dyDescent="0.25">
      <c r="A790" s="347">
        <f t="shared" ca="1" si="354"/>
        <v>0.1</v>
      </c>
      <c r="B790" s="304">
        <f t="shared" ca="1" si="355"/>
        <v>33.600000000000144</v>
      </c>
      <c r="D790" s="306">
        <f t="shared" ca="1" si="356"/>
        <v>-0.51307329341752694</v>
      </c>
      <c r="E790" s="307">
        <f t="shared" ca="1" si="357"/>
        <v>-4.7299092167357166</v>
      </c>
      <c r="F790" s="304">
        <f t="shared" ca="1" si="358"/>
        <v>4.757655452318903</v>
      </c>
      <c r="G790" s="306">
        <f t="shared" ca="1" si="359"/>
        <v>10.949674311262033</v>
      </c>
      <c r="H790" s="307">
        <f t="shared" ca="1" si="360"/>
        <v>-109.39697148406124</v>
      </c>
      <c r="I790" s="304">
        <f t="shared" ca="1" si="361"/>
        <v>109.94358888724354</v>
      </c>
      <c r="J790" s="306">
        <f t="shared" ca="1" si="362"/>
        <v>558.14833518263117</v>
      </c>
      <c r="K790" s="307">
        <f t="shared" ca="1" si="363"/>
        <v>1151.5788638717404</v>
      </c>
      <c r="L790" s="304">
        <f t="shared" ca="1" si="348"/>
        <v>1279.7122503841522</v>
      </c>
      <c r="M790" s="306">
        <f t="shared" ca="1" si="364"/>
        <v>-1.471037376650107</v>
      </c>
      <c r="N790" s="304">
        <f t="shared" ca="1" si="365"/>
        <v>-84.284233188047565</v>
      </c>
      <c r="P790" s="310">
        <f t="shared" ca="1" si="366"/>
        <v>23</v>
      </c>
      <c r="Q790" s="304">
        <f t="shared" ca="1" si="367"/>
        <v>0</v>
      </c>
      <c r="R790" s="306">
        <f t="shared" ca="1" si="368"/>
        <v>0</v>
      </c>
      <c r="S790" s="307">
        <f t="shared" ca="1" si="369"/>
        <v>10.637999999999975</v>
      </c>
      <c r="T790" s="304">
        <f t="shared" ca="1" si="349"/>
        <v>104.35877999999975</v>
      </c>
      <c r="U790" s="311">
        <f t="shared" ca="1" si="350"/>
        <v>0</v>
      </c>
      <c r="V790" s="306">
        <f t="shared" ca="1" si="351"/>
        <v>1.0916119331023157</v>
      </c>
      <c r="W790" s="304">
        <f t="shared" ca="1" si="352"/>
        <v>54.839839997082485</v>
      </c>
      <c r="Y790" s="314" t="str">
        <f t="shared" ca="1" si="370"/>
        <v/>
      </c>
      <c r="Z790" s="315" t="str">
        <f t="shared" ca="1" si="371"/>
        <v/>
      </c>
      <c r="AA790" s="316" t="str">
        <f t="shared" ca="1" si="372"/>
        <v/>
      </c>
      <c r="AC790" s="310" t="e">
        <f t="shared" ca="1" si="373"/>
        <v>#N/A</v>
      </c>
      <c r="AD790" s="323" t="e">
        <f t="shared" ca="1" si="374"/>
        <v>#N/A</v>
      </c>
      <c r="AE790" s="324" t="e">
        <f t="shared" ca="1" si="353"/>
        <v>#N/A</v>
      </c>
      <c r="AG790" s="306">
        <f t="shared" ca="1" si="375"/>
        <v>4.6544122849235432</v>
      </c>
      <c r="AH790" s="304">
        <f t="shared" ca="1" si="376"/>
        <v>-5.1059344463697371</v>
      </c>
    </row>
    <row r="791" spans="1:34" x14ac:dyDescent="0.25">
      <c r="A791" s="347">
        <f t="shared" ca="1" si="354"/>
        <v>0.1</v>
      </c>
      <c r="B791" s="304">
        <f t="shared" ca="1" si="355"/>
        <v>33.700000000000145</v>
      </c>
      <c r="D791" s="306">
        <f t="shared" ca="1" si="356"/>
        <v>-0.51341373768268572</v>
      </c>
      <c r="E791" s="307">
        <f t="shared" ca="1" si="357"/>
        <v>-4.6805407645750812</v>
      </c>
      <c r="F791" s="304">
        <f t="shared" ca="1" si="358"/>
        <v>4.7086150315024042</v>
      </c>
      <c r="G791" s="306">
        <f t="shared" ca="1" si="359"/>
        <v>10.898332937493764</v>
      </c>
      <c r="H791" s="307">
        <f t="shared" ca="1" si="360"/>
        <v>-109.86502556051875</v>
      </c>
      <c r="I791" s="304">
        <f t="shared" ca="1" si="361"/>
        <v>110.40424585236701</v>
      </c>
      <c r="J791" s="306">
        <f t="shared" ca="1" si="362"/>
        <v>559.24073554506901</v>
      </c>
      <c r="K791" s="307">
        <f t="shared" ca="1" si="363"/>
        <v>1140.6157640195113</v>
      </c>
      <c r="L791" s="304">
        <f t="shared" ca="1" si="348"/>
        <v>1270.3363812088526</v>
      </c>
      <c r="M791" s="306">
        <f t="shared" ca="1" si="364"/>
        <v>-1.4719223181878336</v>
      </c>
      <c r="N791" s="304">
        <f t="shared" ca="1" si="365"/>
        <v>-84.334936603275111</v>
      </c>
      <c r="P791" s="310">
        <f t="shared" ca="1" si="366"/>
        <v>23</v>
      </c>
      <c r="Q791" s="304">
        <f t="shared" ca="1" si="367"/>
        <v>0</v>
      </c>
      <c r="R791" s="306">
        <f t="shared" ca="1" si="368"/>
        <v>0</v>
      </c>
      <c r="S791" s="307">
        <f t="shared" ca="1" si="369"/>
        <v>10.637999999999975</v>
      </c>
      <c r="T791" s="304">
        <f t="shared" ca="1" si="349"/>
        <v>104.35877999999975</v>
      </c>
      <c r="U791" s="311">
        <f t="shared" ca="1" si="350"/>
        <v>0</v>
      </c>
      <c r="V791" s="306">
        <f t="shared" ca="1" si="351"/>
        <v>1.0928132816450906</v>
      </c>
      <c r="W791" s="304">
        <f t="shared" ca="1" si="352"/>
        <v>55.361213485346312</v>
      </c>
      <c r="Y791" s="314" t="str">
        <f t="shared" ca="1" si="370"/>
        <v/>
      </c>
      <c r="Z791" s="315" t="str">
        <f t="shared" ca="1" si="371"/>
        <v/>
      </c>
      <c r="AA791" s="316" t="str">
        <f t="shared" ca="1" si="372"/>
        <v/>
      </c>
      <c r="AC791" s="310" t="e">
        <f t="shared" ca="1" si="373"/>
        <v>#N/A</v>
      </c>
      <c r="AD791" s="323" t="e">
        <f t="shared" ca="1" si="374"/>
        <v>#N/A</v>
      </c>
      <c r="AE791" s="324" t="e">
        <f t="shared" ca="1" si="353"/>
        <v>#N/A</v>
      </c>
      <c r="AG791" s="306">
        <f t="shared" ca="1" si="375"/>
        <v>4.6061373515560327</v>
      </c>
      <c r="AH791" s="304">
        <f t="shared" ca="1" si="376"/>
        <v>-5.1550893022262283</v>
      </c>
    </row>
    <row r="792" spans="1:34" x14ac:dyDescent="0.25">
      <c r="A792" s="347">
        <f t="shared" ca="1" si="354"/>
        <v>0.1</v>
      </c>
      <c r="B792" s="304">
        <f t="shared" ca="1" si="355"/>
        <v>33.800000000000146</v>
      </c>
      <c r="D792" s="306">
        <f t="shared" ca="1" si="356"/>
        <v>-0.51371223661592202</v>
      </c>
      <c r="E792" s="307">
        <f t="shared" ca="1" si="357"/>
        <v>-4.6313173216252919</v>
      </c>
      <c r="F792" s="304">
        <f t="shared" ca="1" si="358"/>
        <v>4.6597210641448701</v>
      </c>
      <c r="G792" s="306">
        <f t="shared" ca="1" si="359"/>
        <v>10.846961713832172</v>
      </c>
      <c r="H792" s="307">
        <f t="shared" ca="1" si="360"/>
        <v>-110.32815729268127</v>
      </c>
      <c r="I792" s="304">
        <f t="shared" ca="1" si="361"/>
        <v>110.86008691147576</v>
      </c>
      <c r="J792" s="306">
        <f t="shared" ca="1" si="362"/>
        <v>560.32800027763528</v>
      </c>
      <c r="K792" s="307">
        <f t="shared" ca="1" si="363"/>
        <v>1129.6061048768513</v>
      </c>
      <c r="L792" s="304">
        <f t="shared" ca="1" si="348"/>
        <v>1260.9430677354887</v>
      </c>
      <c r="M792" s="306">
        <f t="shared" ca="1" si="364"/>
        <v>-1.4727958287155722</v>
      </c>
      <c r="N792" s="304">
        <f t="shared" ca="1" si="365"/>
        <v>-84.384985069874787</v>
      </c>
      <c r="P792" s="310">
        <f t="shared" ca="1" si="366"/>
        <v>23</v>
      </c>
      <c r="Q792" s="304">
        <f t="shared" ca="1" si="367"/>
        <v>0</v>
      </c>
      <c r="R792" s="306">
        <f t="shared" ca="1" si="368"/>
        <v>0</v>
      </c>
      <c r="S792" s="307">
        <f t="shared" ca="1" si="369"/>
        <v>10.637999999999975</v>
      </c>
      <c r="T792" s="304">
        <f t="shared" ca="1" si="349"/>
        <v>104.35877999999975</v>
      </c>
      <c r="U792" s="311">
        <f t="shared" ca="1" si="350"/>
        <v>0</v>
      </c>
      <c r="V792" s="306">
        <f t="shared" ca="1" si="351"/>
        <v>1.0940209867987309</v>
      </c>
      <c r="W792" s="304">
        <f t="shared" ca="1" si="352"/>
        <v>55.880999842467425</v>
      </c>
      <c r="Y792" s="314" t="str">
        <f t="shared" ca="1" si="370"/>
        <v/>
      </c>
      <c r="Z792" s="315" t="str">
        <f t="shared" ca="1" si="371"/>
        <v/>
      </c>
      <c r="AA792" s="316" t="str">
        <f t="shared" ca="1" si="372"/>
        <v/>
      </c>
      <c r="AC792" s="310" t="e">
        <f t="shared" ca="1" si="373"/>
        <v>#N/A</v>
      </c>
      <c r="AD792" s="323" t="e">
        <f t="shared" ca="1" si="374"/>
        <v>#N/A</v>
      </c>
      <c r="AE792" s="324" t="e">
        <f t="shared" ca="1" si="353"/>
        <v>#N/A</v>
      </c>
      <c r="AG792" s="306">
        <f t="shared" ca="1" si="375"/>
        <v>4.557987648440986</v>
      </c>
      <c r="AH792" s="304">
        <f t="shared" ca="1" si="376"/>
        <v>-5.2040997824164732</v>
      </c>
    </row>
    <row r="793" spans="1:34" x14ac:dyDescent="0.25">
      <c r="A793" s="347">
        <f t="shared" ca="1" si="354"/>
        <v>0.1</v>
      </c>
      <c r="B793" s="304">
        <f t="shared" ca="1" si="355"/>
        <v>33.900000000000148</v>
      </c>
      <c r="D793" s="306">
        <f t="shared" ca="1" si="356"/>
        <v>-0.5139691766203518</v>
      </c>
      <c r="E793" s="307">
        <f t="shared" ca="1" si="357"/>
        <v>-4.5822437252222636</v>
      </c>
      <c r="F793" s="304">
        <f t="shared" ca="1" si="358"/>
        <v>4.6109784072205988</v>
      </c>
      <c r="G793" s="306">
        <f t="shared" ca="1" si="359"/>
        <v>10.795564796170137</v>
      </c>
      <c r="H793" s="307">
        <f t="shared" ca="1" si="360"/>
        <v>-110.78638166520349</v>
      </c>
      <c r="I793" s="304">
        <f t="shared" ca="1" si="361"/>
        <v>111.31112514810209</v>
      </c>
      <c r="J793" s="306">
        <f t="shared" ca="1" si="362"/>
        <v>561.41012660313538</v>
      </c>
      <c r="K793" s="307">
        <f t="shared" ca="1" si="363"/>
        <v>1118.550377928957</v>
      </c>
      <c r="L793" s="304">
        <f t="shared" ca="1" si="348"/>
        <v>1251.5335705515697</v>
      </c>
      <c r="M793" s="306">
        <f t="shared" ca="1" si="364"/>
        <v>-1.4736581386331626</v>
      </c>
      <c r="N793" s="304">
        <f t="shared" ca="1" si="365"/>
        <v>-84.434391788784993</v>
      </c>
      <c r="P793" s="310">
        <f t="shared" ca="1" si="366"/>
        <v>23</v>
      </c>
      <c r="Q793" s="304">
        <f t="shared" ca="1" si="367"/>
        <v>0</v>
      </c>
      <c r="R793" s="306">
        <f t="shared" ca="1" si="368"/>
        <v>0</v>
      </c>
      <c r="S793" s="307">
        <f t="shared" ca="1" si="369"/>
        <v>10.637999999999975</v>
      </c>
      <c r="T793" s="304">
        <f t="shared" ca="1" si="349"/>
        <v>104.35877999999975</v>
      </c>
      <c r="U793" s="311">
        <f t="shared" ca="1" si="350"/>
        <v>0</v>
      </c>
      <c r="V793" s="306">
        <f t="shared" ca="1" si="351"/>
        <v>1.0952350124945132</v>
      </c>
      <c r="W793" s="304">
        <f t="shared" ca="1" si="352"/>
        <v>56.399148818248385</v>
      </c>
      <c r="Y793" s="314" t="str">
        <f t="shared" ca="1" si="370"/>
        <v/>
      </c>
      <c r="Z793" s="315" t="str">
        <f t="shared" ca="1" si="371"/>
        <v/>
      </c>
      <c r="AA793" s="316" t="str">
        <f t="shared" ca="1" si="372"/>
        <v/>
      </c>
      <c r="AC793" s="310" t="e">
        <f t="shared" ca="1" si="373"/>
        <v>#N/A</v>
      </c>
      <c r="AD793" s="323" t="e">
        <f t="shared" ca="1" si="374"/>
        <v>#N/A</v>
      </c>
      <c r="AE793" s="324" t="e">
        <f t="shared" ca="1" si="353"/>
        <v>#N/A</v>
      </c>
      <c r="AG793" s="306">
        <f t="shared" ca="1" si="375"/>
        <v>4.5099685235505387</v>
      </c>
      <c r="AH793" s="304">
        <f t="shared" ca="1" si="376"/>
        <v>-5.2529610681018575</v>
      </c>
    </row>
    <row r="794" spans="1:34" x14ac:dyDescent="0.25">
      <c r="A794" s="347">
        <f t="shared" ca="1" si="354"/>
        <v>0.1</v>
      </c>
      <c r="B794" s="304">
        <f t="shared" ca="1" si="355"/>
        <v>34.000000000000149</v>
      </c>
      <c r="D794" s="306">
        <f t="shared" ca="1" si="356"/>
        <v>-0.51418494825668615</v>
      </c>
      <c r="E794" s="307">
        <f t="shared" ca="1" si="357"/>
        <v>-4.5333247171767104</v>
      </c>
      <c r="F794" s="304">
        <f t="shared" ca="1" si="358"/>
        <v>4.5623918236358252</v>
      </c>
      <c r="G794" s="306">
        <f t="shared" ca="1" si="359"/>
        <v>10.744146301344468</v>
      </c>
      <c r="H794" s="307">
        <f t="shared" ca="1" si="360"/>
        <v>-111.23971413692117</v>
      </c>
      <c r="I794" s="304">
        <f t="shared" ca="1" si="361"/>
        <v>111.75737416836812</v>
      </c>
      <c r="J794" s="306">
        <f t="shared" ca="1" si="362"/>
        <v>562.48711215801109</v>
      </c>
      <c r="K794" s="307">
        <f t="shared" ca="1" si="363"/>
        <v>1107.4490731388507</v>
      </c>
      <c r="L794" s="304">
        <f t="shared" ca="1" si="348"/>
        <v>1242.109174324044</v>
      </c>
      <c r="M794" s="306">
        <f t="shared" ca="1" si="364"/>
        <v>-1.4745094720219061</v>
      </c>
      <c r="N794" s="304">
        <f t="shared" ca="1" si="365"/>
        <v>-84.483169598918565</v>
      </c>
      <c r="P794" s="310">
        <f t="shared" ca="1" si="366"/>
        <v>23</v>
      </c>
      <c r="Q794" s="304">
        <f t="shared" ca="1" si="367"/>
        <v>0</v>
      </c>
      <c r="R794" s="306">
        <f t="shared" ca="1" si="368"/>
        <v>0</v>
      </c>
      <c r="S794" s="307">
        <f t="shared" ca="1" si="369"/>
        <v>10.637999999999975</v>
      </c>
      <c r="T794" s="304">
        <f t="shared" ca="1" si="349"/>
        <v>104.35877999999975</v>
      </c>
      <c r="U794" s="311">
        <f t="shared" ca="1" si="350"/>
        <v>0</v>
      </c>
      <c r="V794" s="306">
        <f t="shared" ca="1" si="351"/>
        <v>1.0964553227257081</v>
      </c>
      <c r="W794" s="304">
        <f t="shared" ca="1" si="352"/>
        <v>56.915611175158524</v>
      </c>
      <c r="Y794" s="314" t="str">
        <f t="shared" ca="1" si="370"/>
        <v/>
      </c>
      <c r="Z794" s="315" t="str">
        <f t="shared" ca="1" si="371"/>
        <v/>
      </c>
      <c r="AA794" s="316" t="str">
        <f t="shared" ca="1" si="372"/>
        <v/>
      </c>
      <c r="AC794" s="310">
        <f t="shared" ca="1" si="373"/>
        <v>34.000000000000149</v>
      </c>
      <c r="AD794" s="323">
        <f t="shared" ca="1" si="374"/>
        <v>562.48711215801109</v>
      </c>
      <c r="AE794" s="324" t="e">
        <f t="shared" ca="1" si="353"/>
        <v>#N/A</v>
      </c>
      <c r="AG794" s="306">
        <f t="shared" ca="1" si="375"/>
        <v>4.4620852115408507</v>
      </c>
      <c r="AH794" s="304">
        <f t="shared" ca="1" si="376"/>
        <v>-5.3016684356315587</v>
      </c>
    </row>
    <row r="795" spans="1:34" x14ac:dyDescent="0.25">
      <c r="A795" s="347">
        <f t="shared" ca="1" si="354"/>
        <v>0.1</v>
      </c>
      <c r="B795" s="304">
        <f t="shared" ca="1" si="355"/>
        <v>34.100000000000151</v>
      </c>
      <c r="D795" s="306">
        <f t="shared" ca="1" si="356"/>
        <v>-0.51435994605357105</v>
      </c>
      <c r="E795" s="307">
        <f t="shared" ca="1" si="357"/>
        <v>-4.4845649437664896</v>
      </c>
      <c r="F795" s="304">
        <f t="shared" ca="1" si="358"/>
        <v>4.5139659822559111</v>
      </c>
      <c r="G795" s="306">
        <f t="shared" ca="1" si="359"/>
        <v>10.69271030673911</v>
      </c>
      <c r="H795" s="307">
        <f t="shared" ca="1" si="360"/>
        <v>-111.68817063129781</v>
      </c>
      <c r="I795" s="304">
        <f t="shared" ca="1" si="361"/>
        <v>112.1988480897631</v>
      </c>
      <c r="J795" s="306">
        <f t="shared" ca="1" si="362"/>
        <v>563.55895498841528</v>
      </c>
      <c r="K795" s="307">
        <f t="shared" ca="1" si="363"/>
        <v>1096.3026789004398</v>
      </c>
      <c r="L795" s="304">
        <f t="shared" ca="1" si="348"/>
        <v>1232.67118872468</v>
      </c>
      <c r="M795" s="306">
        <f t="shared" ca="1" si="364"/>
        <v>-1.475350046858112</v>
      </c>
      <c r="N795" s="304">
        <f t="shared" ca="1" si="365"/>
        <v>-84.531330989398057</v>
      </c>
      <c r="P795" s="310">
        <f t="shared" ca="1" si="366"/>
        <v>23</v>
      </c>
      <c r="Q795" s="304">
        <f t="shared" ca="1" si="367"/>
        <v>0</v>
      </c>
      <c r="R795" s="306">
        <f t="shared" ca="1" si="368"/>
        <v>0</v>
      </c>
      <c r="S795" s="307">
        <f t="shared" ca="1" si="369"/>
        <v>10.637999999999975</v>
      </c>
      <c r="T795" s="304">
        <f t="shared" ca="1" si="349"/>
        <v>104.35877999999975</v>
      </c>
      <c r="U795" s="311">
        <f t="shared" ca="1" si="350"/>
        <v>0</v>
      </c>
      <c r="V795" s="306">
        <f t="shared" ca="1" si="351"/>
        <v>1.0976818815511009</v>
      </c>
      <c r="W795" s="304">
        <f t="shared" ca="1" si="352"/>
        <v>57.430338687971172</v>
      </c>
      <c r="Y795" s="314" t="str">
        <f t="shared" ca="1" si="370"/>
        <v/>
      </c>
      <c r="Z795" s="315" t="str">
        <f t="shared" ca="1" si="371"/>
        <v/>
      </c>
      <c r="AA795" s="316" t="str">
        <f t="shared" ca="1" si="372"/>
        <v/>
      </c>
      <c r="AC795" s="310" t="e">
        <f t="shared" ca="1" si="373"/>
        <v>#N/A</v>
      </c>
      <c r="AD795" s="323" t="e">
        <f t="shared" ca="1" si="374"/>
        <v>#N/A</v>
      </c>
      <c r="AE795" s="324" t="e">
        <f t="shared" ca="1" si="353"/>
        <v>#N/A</v>
      </c>
      <c r="AG795" s="306">
        <f t="shared" ca="1" si="375"/>
        <v>4.4143428344858595</v>
      </c>
      <c r="AH795" s="304">
        <f t="shared" ca="1" si="376"/>
        <v>-5.3502172565480972</v>
      </c>
    </row>
    <row r="796" spans="1:34" x14ac:dyDescent="0.25">
      <c r="A796" s="347">
        <f t="shared" ca="1" si="354"/>
        <v>0.1</v>
      </c>
      <c r="B796" s="304">
        <f t="shared" ca="1" si="355"/>
        <v>34.200000000000152</v>
      </c>
      <c r="D796" s="306">
        <f t="shared" ca="1" si="356"/>
        <v>-0.51449456831987683</v>
      </c>
      <c r="E796" s="307">
        <f t="shared" ca="1" si="357"/>
        <v>-4.4359689557688542</v>
      </c>
      <c r="F796" s="304">
        <f t="shared" ca="1" si="358"/>
        <v>4.4657054579736535</v>
      </c>
      <c r="G796" s="306">
        <f t="shared" ca="1" si="359"/>
        <v>10.641260849907123</v>
      </c>
      <c r="H796" s="307">
        <f t="shared" ca="1" si="360"/>
        <v>-112.1317675268747</v>
      </c>
      <c r="I796" s="304">
        <f t="shared" ca="1" si="361"/>
        <v>112.63556152999298</v>
      </c>
      <c r="J796" s="306">
        <f t="shared" ca="1" si="362"/>
        <v>564.62565354624758</v>
      </c>
      <c r="K796" s="307">
        <f t="shared" ca="1" si="363"/>
        <v>1085.1116819925312</v>
      </c>
      <c r="L796" s="304">
        <f t="shared" ca="1" si="348"/>
        <v>1223.2209493951561</v>
      </c>
      <c r="M796" s="306">
        <f t="shared" ca="1" si="364"/>
        <v>-1.4761800752180942</v>
      </c>
      <c r="N796" s="304">
        <f t="shared" ca="1" si="365"/>
        <v>-84.578888111301211</v>
      </c>
      <c r="P796" s="310">
        <f t="shared" ca="1" si="366"/>
        <v>23</v>
      </c>
      <c r="Q796" s="304">
        <f t="shared" ca="1" si="367"/>
        <v>0</v>
      </c>
      <c r="R796" s="306">
        <f t="shared" ca="1" si="368"/>
        <v>0</v>
      </c>
      <c r="S796" s="307">
        <f t="shared" ca="1" si="369"/>
        <v>10.637999999999975</v>
      </c>
      <c r="T796" s="304">
        <f t="shared" ca="1" si="349"/>
        <v>104.35877999999975</v>
      </c>
      <c r="U796" s="311">
        <f t="shared" ca="1" si="350"/>
        <v>0</v>
      </c>
      <c r="V796" s="306">
        <f t="shared" ca="1" si="351"/>
        <v>1.0989146530984621</v>
      </c>
      <c r="W796" s="304">
        <f t="shared" ca="1" si="352"/>
        <v>57.943284142987231</v>
      </c>
      <c r="Y796" s="314" t="str">
        <f t="shared" ca="1" si="370"/>
        <v/>
      </c>
      <c r="Z796" s="315" t="str">
        <f t="shared" ca="1" si="371"/>
        <v/>
      </c>
      <c r="AA796" s="316" t="str">
        <f t="shared" ca="1" si="372"/>
        <v/>
      </c>
      <c r="AC796" s="310" t="e">
        <f t="shared" ca="1" si="373"/>
        <v>#N/A</v>
      </c>
      <c r="AD796" s="323" t="e">
        <f t="shared" ca="1" si="374"/>
        <v>#N/A</v>
      </c>
      <c r="AE796" s="324" t="e">
        <f t="shared" ca="1" si="353"/>
        <v>#N/A</v>
      </c>
      <c r="AG796" s="306">
        <f t="shared" ca="1" si="375"/>
        <v>4.3667464026158607</v>
      </c>
      <c r="AH796" s="304">
        <f t="shared" ca="1" si="376"/>
        <v>-5.3986029975532341</v>
      </c>
    </row>
    <row r="797" spans="1:34" x14ac:dyDescent="0.25">
      <c r="A797" s="347">
        <f t="shared" ca="1" si="354"/>
        <v>0.1</v>
      </c>
      <c r="B797" s="304">
        <f t="shared" ca="1" si="355"/>
        <v>34.300000000000153</v>
      </c>
      <c r="D797" s="306">
        <f t="shared" ca="1" si="356"/>
        <v>-0.51458921695901627</v>
      </c>
      <c r="E797" s="307">
        <f t="shared" ca="1" si="357"/>
        <v>-4.3875412085318377</v>
      </c>
      <c r="F797" s="304">
        <f t="shared" ca="1" si="358"/>
        <v>4.4176147318180101</v>
      </c>
      <c r="G797" s="306">
        <f t="shared" ca="1" si="359"/>
        <v>10.589801928211221</v>
      </c>
      <c r="H797" s="307">
        <f t="shared" ca="1" si="360"/>
        <v>-112.57052164772789</v>
      </c>
      <c r="I797" s="304">
        <f t="shared" ca="1" si="361"/>
        <v>113.06752959590264</v>
      </c>
      <c r="J797" s="306">
        <f t="shared" ca="1" si="362"/>
        <v>565.68720668515346</v>
      </c>
      <c r="K797" s="307">
        <f t="shared" ca="1" si="363"/>
        <v>1073.8765675338011</v>
      </c>
      <c r="L797" s="304">
        <f t="shared" ca="1" si="348"/>
        <v>1213.7598189532516</v>
      </c>
      <c r="M797" s="306">
        <f t="shared" ca="1" si="364"/>
        <v>-1.476999763475018</v>
      </c>
      <c r="N797" s="304">
        <f t="shared" ca="1" si="365"/>
        <v>-84.625852788939369</v>
      </c>
      <c r="P797" s="310">
        <f t="shared" ca="1" si="366"/>
        <v>23</v>
      </c>
      <c r="Q797" s="304">
        <f t="shared" ca="1" si="367"/>
        <v>0</v>
      </c>
      <c r="R797" s="306">
        <f t="shared" ca="1" si="368"/>
        <v>0</v>
      </c>
      <c r="S797" s="307">
        <f t="shared" ca="1" si="369"/>
        <v>10.637999999999975</v>
      </c>
      <c r="T797" s="304">
        <f t="shared" ca="1" si="349"/>
        <v>104.35877999999975</v>
      </c>
      <c r="U797" s="311">
        <f t="shared" ca="1" si="350"/>
        <v>0</v>
      </c>
      <c r="V797" s="306">
        <f t="shared" ca="1" si="351"/>
        <v>1.1001536015679669</v>
      </c>
      <c r="W797" s="304">
        <f t="shared" ca="1" si="352"/>
        <v>58.454401336853827</v>
      </c>
      <c r="Y797" s="314" t="str">
        <f t="shared" ca="1" si="370"/>
        <v/>
      </c>
      <c r="Z797" s="315" t="str">
        <f t="shared" ca="1" si="371"/>
        <v/>
      </c>
      <c r="AA797" s="316" t="str">
        <f t="shared" ca="1" si="372"/>
        <v/>
      </c>
      <c r="AC797" s="310" t="e">
        <f t="shared" ca="1" si="373"/>
        <v>#N/A</v>
      </c>
      <c r="AD797" s="323" t="e">
        <f t="shared" ca="1" si="374"/>
        <v>#N/A</v>
      </c>
      <c r="AE797" s="324" t="e">
        <f t="shared" ca="1" si="353"/>
        <v>#N/A</v>
      </c>
      <c r="AG797" s="306">
        <f t="shared" ca="1" si="375"/>
        <v>4.3193008150619976</v>
      </c>
      <c r="AH797" s="304">
        <f t="shared" ca="1" si="376"/>
        <v>-5.4468212204349848</v>
      </c>
    </row>
    <row r="798" spans="1:34" x14ac:dyDescent="0.25">
      <c r="A798" s="347">
        <f t="shared" ca="1" si="354"/>
        <v>0.1</v>
      </c>
      <c r="B798" s="304">
        <f t="shared" ca="1" si="355"/>
        <v>34.400000000000155</v>
      </c>
      <c r="D798" s="306">
        <f t="shared" ca="1" si="356"/>
        <v>-0.51464429728530725</v>
      </c>
      <c r="E798" s="307">
        <f t="shared" ca="1" si="357"/>
        <v>-4.3392860620839508</v>
      </c>
      <c r="F798" s="304">
        <f t="shared" ca="1" si="358"/>
        <v>4.3696981911024846</v>
      </c>
      <c r="G798" s="306">
        <f t="shared" ca="1" si="359"/>
        <v>10.53833749848269</v>
      </c>
      <c r="H798" s="307">
        <f t="shared" ca="1" si="360"/>
        <v>-113.00445025393628</v>
      </c>
      <c r="I798" s="304">
        <f t="shared" ca="1" si="361"/>
        <v>113.49476787247194</v>
      </c>
      <c r="J798" s="306">
        <f t="shared" ca="1" si="362"/>
        <v>566.74361365648815</v>
      </c>
      <c r="K798" s="307">
        <f t="shared" ca="1" si="363"/>
        <v>1062.5978189387179</v>
      </c>
      <c r="L798" s="304">
        <f t="shared" ca="1" si="348"/>
        <v>1204.289188041533</v>
      </c>
      <c r="M798" s="306">
        <f t="shared" ca="1" si="364"/>
        <v>-1.4778093124879665</v>
      </c>
      <c r="N798" s="304">
        <f t="shared" ca="1" si="365"/>
        <v>-84.672236530690313</v>
      </c>
      <c r="P798" s="310">
        <f t="shared" ca="1" si="366"/>
        <v>23</v>
      </c>
      <c r="Q798" s="304">
        <f t="shared" ca="1" si="367"/>
        <v>0</v>
      </c>
      <c r="R798" s="306">
        <f t="shared" ca="1" si="368"/>
        <v>0</v>
      </c>
      <c r="S798" s="307">
        <f t="shared" ca="1" si="369"/>
        <v>10.637999999999975</v>
      </c>
      <c r="T798" s="304">
        <f t="shared" ca="1" si="349"/>
        <v>104.35877999999975</v>
      </c>
      <c r="U798" s="311">
        <f t="shared" ca="1" si="350"/>
        <v>0</v>
      </c>
      <c r="V798" s="306">
        <f t="shared" ca="1" si="351"/>
        <v>1.1013986912355604</v>
      </c>
      <c r="W798" s="304">
        <f t="shared" ca="1" si="352"/>
        <v>58.963645074985919</v>
      </c>
      <c r="Y798" s="314" t="str">
        <f t="shared" ca="1" si="370"/>
        <v/>
      </c>
      <c r="Z798" s="315" t="str">
        <f t="shared" ca="1" si="371"/>
        <v/>
      </c>
      <c r="AA798" s="316" t="str">
        <f t="shared" ca="1" si="372"/>
        <v/>
      </c>
      <c r="AC798" s="310" t="e">
        <f t="shared" ca="1" si="373"/>
        <v>#N/A</v>
      </c>
      <c r="AD798" s="323" t="e">
        <f t="shared" ca="1" si="374"/>
        <v>#N/A</v>
      </c>
      <c r="AE798" s="324" t="e">
        <f t="shared" ca="1" si="353"/>
        <v>#N/A</v>
      </c>
      <c r="AG798" s="306">
        <f t="shared" ca="1" si="375"/>
        <v>4.2720108606076277</v>
      </c>
      <c r="AH798" s="304">
        <f t="shared" ca="1" si="376"/>
        <v>-5.4948675819565675</v>
      </c>
    </row>
    <row r="799" spans="1:34" x14ac:dyDescent="0.25">
      <c r="A799" s="347">
        <f t="shared" ca="1" si="354"/>
        <v>0.1</v>
      </c>
      <c r="B799" s="304">
        <f t="shared" ca="1" si="355"/>
        <v>34.500000000000156</v>
      </c>
      <c r="D799" s="306">
        <f t="shared" ca="1" si="356"/>
        <v>-0.51466021784244498</v>
      </c>
      <c r="E799" s="307">
        <f t="shared" ca="1" si="357"/>
        <v>-4.2912077812814173</v>
      </c>
      <c r="F799" s="304">
        <f t="shared" ca="1" si="358"/>
        <v>4.3219601296124681</v>
      </c>
      <c r="G799" s="306">
        <f t="shared" ca="1" si="359"/>
        <v>10.486871476698445</v>
      </c>
      <c r="H799" s="307">
        <f t="shared" ca="1" si="360"/>
        <v>-113.43357103206442</v>
      </c>
      <c r="I799" s="304">
        <f t="shared" ca="1" si="361"/>
        <v>113.91729241188625</v>
      </c>
      <c r="J799" s="306">
        <f t="shared" ca="1" si="362"/>
        <v>567.79487410524723</v>
      </c>
      <c r="K799" s="307">
        <f t="shared" ca="1" si="363"/>
        <v>1051.2759178744179</v>
      </c>
      <c r="L799" s="304">
        <f t="shared" ca="1" si="348"/>
        <v>1194.8104764199607</v>
      </c>
      <c r="M799" s="306">
        <f t="shared" ca="1" si="364"/>
        <v>-1.4786089177835868</v>
      </c>
      <c r="N799" s="304">
        <f t="shared" ca="1" si="365"/>
        <v>-84.718050539405652</v>
      </c>
      <c r="P799" s="310">
        <f t="shared" ca="1" si="366"/>
        <v>23</v>
      </c>
      <c r="Q799" s="304">
        <f t="shared" ca="1" si="367"/>
        <v>0</v>
      </c>
      <c r="R799" s="306">
        <f t="shared" ca="1" si="368"/>
        <v>0</v>
      </c>
      <c r="S799" s="307">
        <f t="shared" ca="1" si="369"/>
        <v>10.637999999999975</v>
      </c>
      <c r="T799" s="304">
        <f t="shared" ca="1" si="349"/>
        <v>104.35877999999975</v>
      </c>
      <c r="U799" s="311">
        <f t="shared" ca="1" si="350"/>
        <v>0</v>
      </c>
      <c r="V799" s="306">
        <f t="shared" ca="1" si="351"/>
        <v>1.1026498864562702</v>
      </c>
      <c r="W799" s="304">
        <f t="shared" ca="1" si="352"/>
        <v>59.470971169600048</v>
      </c>
      <c r="Y799" s="314" t="str">
        <f t="shared" ca="1" si="370"/>
        <v/>
      </c>
      <c r="Z799" s="315" t="str">
        <f t="shared" ca="1" si="371"/>
        <v/>
      </c>
      <c r="AA799" s="316" t="str">
        <f t="shared" ca="1" si="372"/>
        <v/>
      </c>
      <c r="AC799" s="310" t="e">
        <f t="shared" ca="1" si="373"/>
        <v>#N/A</v>
      </c>
      <c r="AD799" s="323" t="e">
        <f t="shared" ca="1" si="374"/>
        <v>#N/A</v>
      </c>
      <c r="AE799" s="324" t="e">
        <f t="shared" ca="1" si="353"/>
        <v>#N/A</v>
      </c>
      <c r="AG799" s="306">
        <f t="shared" ca="1" si="375"/>
        <v>4.2248812184473969</v>
      </c>
      <c r="AH799" s="304">
        <f t="shared" ca="1" si="376"/>
        <v>-5.5427378337080331</v>
      </c>
    </row>
    <row r="800" spans="1:34" x14ac:dyDescent="0.25">
      <c r="A800" s="347">
        <f t="shared" ca="1" si="354"/>
        <v>0.1</v>
      </c>
      <c r="B800" s="304">
        <f t="shared" ca="1" si="355"/>
        <v>34.600000000000158</v>
      </c>
      <c r="D800" s="306">
        <f t="shared" ca="1" si="356"/>
        <v>-0.51463739022410371</v>
      </c>
      <c r="E800" s="307">
        <f t="shared" ca="1" si="357"/>
        <v>-4.2433105359921042</v>
      </c>
      <c r="F800" s="304">
        <f t="shared" ca="1" si="358"/>
        <v>4.2744047478307756</v>
      </c>
      <c r="G800" s="306">
        <f t="shared" ca="1" si="359"/>
        <v>10.435407737676035</v>
      </c>
      <c r="H800" s="307">
        <f t="shared" ca="1" si="360"/>
        <v>-113.85790208566362</v>
      </c>
      <c r="I800" s="304">
        <f t="shared" ca="1" si="361"/>
        <v>114.33511972268239</v>
      </c>
      <c r="J800" s="306">
        <f t="shared" ca="1" si="362"/>
        <v>568.84098806596592</v>
      </c>
      <c r="K800" s="307">
        <f t="shared" ca="1" si="363"/>
        <v>1039.9113442185314</v>
      </c>
      <c r="L800" s="304">
        <f t="shared" ca="1" si="348"/>
        <v>1185.3251341038278</v>
      </c>
      <c r="M800" s="306">
        <f t="shared" ca="1" si="364"/>
        <v>-1.4793987697306465</v>
      </c>
      <c r="N800" s="304">
        <f t="shared" ca="1" si="365"/>
        <v>-84.763305722412369</v>
      </c>
      <c r="P800" s="310">
        <f t="shared" ca="1" si="366"/>
        <v>23</v>
      </c>
      <c r="Q800" s="304">
        <f t="shared" ca="1" si="367"/>
        <v>0</v>
      </c>
      <c r="R800" s="306">
        <f t="shared" ca="1" si="368"/>
        <v>0</v>
      </c>
      <c r="S800" s="307">
        <f t="shared" ca="1" si="369"/>
        <v>10.637999999999975</v>
      </c>
      <c r="T800" s="304">
        <f t="shared" ca="1" si="349"/>
        <v>104.35877999999975</v>
      </c>
      <c r="U800" s="311">
        <f t="shared" ca="1" si="350"/>
        <v>0</v>
      </c>
      <c r="V800" s="306">
        <f t="shared" ca="1" si="351"/>
        <v>1.1039071516674668</v>
      </c>
      <c r="W800" s="304">
        <f t="shared" ca="1" si="352"/>
        <v>59.976336437368332</v>
      </c>
      <c r="Y800" s="314" t="str">
        <f t="shared" ca="1" si="370"/>
        <v/>
      </c>
      <c r="Z800" s="315" t="str">
        <f t="shared" ca="1" si="371"/>
        <v/>
      </c>
      <c r="AA800" s="316" t="str">
        <f t="shared" ca="1" si="372"/>
        <v/>
      </c>
      <c r="AC800" s="310" t="e">
        <f t="shared" ca="1" si="373"/>
        <v>#N/A</v>
      </c>
      <c r="AD800" s="323" t="e">
        <f t="shared" ca="1" si="374"/>
        <v>#N/A</v>
      </c>
      <c r="AE800" s="324" t="e">
        <f t="shared" ca="1" si="353"/>
        <v>#N/A</v>
      </c>
      <c r="AG800" s="306">
        <f t="shared" ca="1" si="375"/>
        <v>4.1779164589547788</v>
      </c>
      <c r="AH800" s="304">
        <f t="shared" ca="1" si="376"/>
        <v>-5.5904278219214314</v>
      </c>
    </row>
    <row r="801" spans="1:34" x14ac:dyDescent="0.25">
      <c r="A801" s="347">
        <f t="shared" ca="1" si="354"/>
        <v>0.1</v>
      </c>
      <c r="B801" s="304">
        <f t="shared" ca="1" si="355"/>
        <v>34.700000000000159</v>
      </c>
      <c r="D801" s="306">
        <f t="shared" ca="1" si="356"/>
        <v>-0.51457622889673271</v>
      </c>
      <c r="E801" s="307">
        <f t="shared" ca="1" si="357"/>
        <v>-4.1955984013153715</v>
      </c>
      <c r="F801" s="304">
        <f t="shared" ca="1" si="358"/>
        <v>4.2270361532006895</v>
      </c>
      <c r="G801" s="306">
        <f t="shared" ca="1" si="359"/>
        <v>10.383950114786362</v>
      </c>
      <c r="H801" s="307">
        <f t="shared" ca="1" si="360"/>
        <v>-114.27746192579517</v>
      </c>
      <c r="I801" s="304">
        <f t="shared" ca="1" si="361"/>
        <v>114.74826675897086</v>
      </c>
      <c r="J801" s="306">
        <f t="shared" ca="1" si="362"/>
        <v>569.88195595858906</v>
      </c>
      <c r="K801" s="307">
        <f t="shared" ca="1" si="363"/>
        <v>1028.5045760179585</v>
      </c>
      <c r="L801" s="304">
        <f t="shared" ca="1" si="348"/>
        <v>1175.8346425484615</v>
      </c>
      <c r="M801" s="306">
        <f t="shared" ca="1" si="364"/>
        <v>-1.4801790537078257</v>
      </c>
      <c r="N801" s="304">
        <f t="shared" ca="1" si="365"/>
        <v>-84.808012701126415</v>
      </c>
      <c r="P801" s="310">
        <f t="shared" ca="1" si="366"/>
        <v>23</v>
      </c>
      <c r="Q801" s="304">
        <f t="shared" ca="1" si="367"/>
        <v>0</v>
      </c>
      <c r="R801" s="306">
        <f t="shared" ca="1" si="368"/>
        <v>0</v>
      </c>
      <c r="S801" s="307">
        <f t="shared" ca="1" si="369"/>
        <v>10.637999999999975</v>
      </c>
      <c r="T801" s="304">
        <f t="shared" ca="1" si="349"/>
        <v>104.35877999999975</v>
      </c>
      <c r="U801" s="311">
        <f t="shared" ca="1" si="350"/>
        <v>0</v>
      </c>
      <c r="V801" s="306">
        <f t="shared" ca="1" si="351"/>
        <v>1.105170451392071</v>
      </c>
      <c r="W801" s="304">
        <f t="shared" ca="1" si="352"/>
        <v>60.479698696701561</v>
      </c>
      <c r="Y801" s="314" t="str">
        <f t="shared" ca="1" si="370"/>
        <v/>
      </c>
      <c r="Z801" s="315" t="str">
        <f t="shared" ca="1" si="371"/>
        <v/>
      </c>
      <c r="AA801" s="316" t="str">
        <f t="shared" ca="1" si="372"/>
        <v/>
      </c>
      <c r="AC801" s="310" t="e">
        <f t="shared" ca="1" si="373"/>
        <v>#N/A</v>
      </c>
      <c r="AD801" s="323" t="e">
        <f t="shared" ca="1" si="374"/>
        <v>#N/A</v>
      </c>
      <c r="AE801" s="324" t="e">
        <f t="shared" ca="1" si="353"/>
        <v>#N/A</v>
      </c>
      <c r="AG801" s="306">
        <f t="shared" ca="1" si="375"/>
        <v>4.131121044458709</v>
      </c>
      <c r="AH801" s="304">
        <f t="shared" ca="1" si="376"/>
        <v>-5.6379334872502795</v>
      </c>
    </row>
    <row r="802" spans="1:34" x14ac:dyDescent="0.25">
      <c r="A802" s="347">
        <f t="shared" ca="1" si="354"/>
        <v>0.1</v>
      </c>
      <c r="B802" s="304">
        <f t="shared" ca="1" si="355"/>
        <v>34.800000000000161</v>
      </c>
      <c r="D802" s="306">
        <f t="shared" ca="1" si="356"/>
        <v>-0.5144771510245566</v>
      </c>
      <c r="E802" s="307">
        <f t="shared" ca="1" si="357"/>
        <v>-4.1480753578369898</v>
      </c>
      <c r="F802" s="304">
        <f t="shared" ca="1" si="358"/>
        <v>4.1798583604257233</v>
      </c>
      <c r="G802" s="306">
        <f t="shared" ca="1" si="359"/>
        <v>10.332502399683907</v>
      </c>
      <c r="H802" s="307">
        <f t="shared" ca="1" si="360"/>
        <v>-114.69226946157886</v>
      </c>
      <c r="I802" s="304">
        <f t="shared" ca="1" si="361"/>
        <v>115.15675090973559</v>
      </c>
      <c r="J802" s="306">
        <f t="shared" ca="1" si="362"/>
        <v>570.9177785843126</v>
      </c>
      <c r="K802" s="307">
        <f t="shared" ca="1" si="363"/>
        <v>1017.0560894485898</v>
      </c>
      <c r="L802" s="304">
        <f t="shared" ca="1" si="348"/>
        <v>1166.3405158820917</v>
      </c>
      <c r="M802" s="306">
        <f t="shared" ca="1" si="364"/>
        <v>-1.4809499502650423</v>
      </c>
      <c r="N802" s="304">
        <f t="shared" ca="1" si="365"/>
        <v>-84.852181820296096</v>
      </c>
      <c r="P802" s="310">
        <f t="shared" ca="1" si="366"/>
        <v>23</v>
      </c>
      <c r="Q802" s="304">
        <f t="shared" ca="1" si="367"/>
        <v>0</v>
      </c>
      <c r="R802" s="306">
        <f t="shared" ca="1" si="368"/>
        <v>0</v>
      </c>
      <c r="S802" s="307">
        <f t="shared" ca="1" si="369"/>
        <v>10.637999999999975</v>
      </c>
      <c r="T802" s="304">
        <f t="shared" ca="1" si="349"/>
        <v>104.35877999999975</v>
      </c>
      <c r="U802" s="311">
        <f t="shared" ca="1" si="350"/>
        <v>0</v>
      </c>
      <c r="V802" s="306">
        <f t="shared" ca="1" si="351"/>
        <v>1.1064397502417087</v>
      </c>
      <c r="W802" s="304">
        <f t="shared" ca="1" si="352"/>
        <v>60.981016764670379</v>
      </c>
      <c r="Y802" s="314" t="str">
        <f t="shared" ca="1" si="370"/>
        <v/>
      </c>
      <c r="Z802" s="315" t="str">
        <f t="shared" ca="1" si="371"/>
        <v/>
      </c>
      <c r="AA802" s="316" t="str">
        <f t="shared" ca="1" si="372"/>
        <v/>
      </c>
      <c r="AC802" s="310" t="e">
        <f t="shared" ca="1" si="373"/>
        <v>#N/A</v>
      </c>
      <c r="AD802" s="323" t="e">
        <f t="shared" ca="1" si="374"/>
        <v>#N/A</v>
      </c>
      <c r="AE802" s="324" t="e">
        <f t="shared" ca="1" si="353"/>
        <v>#N/A</v>
      </c>
      <c r="AG802" s="306">
        <f t="shared" ca="1" si="375"/>
        <v>4.0844993300299048</v>
      </c>
      <c r="AH802" s="304">
        <f t="shared" ca="1" si="376"/>
        <v>-5.6852508645141668</v>
      </c>
    </row>
    <row r="803" spans="1:34" x14ac:dyDescent="0.25">
      <c r="A803" s="347">
        <f t="shared" ca="1" si="354"/>
        <v>0.1</v>
      </c>
      <c r="B803" s="304">
        <f t="shared" ca="1" si="355"/>
        <v>34.900000000000162</v>
      </c>
      <c r="D803" s="306">
        <f t="shared" ca="1" si="356"/>
        <v>-0.51434057629684093</v>
      </c>
      <c r="E803" s="307">
        <f t="shared" ca="1" si="357"/>
        <v>-4.1007452919182841</v>
      </c>
      <c r="F803" s="304">
        <f t="shared" ca="1" si="358"/>
        <v>4.1328752918053722</v>
      </c>
      <c r="G803" s="306">
        <f t="shared" ca="1" si="359"/>
        <v>10.281068342054223</v>
      </c>
      <c r="H803" s="307">
        <f t="shared" ca="1" si="360"/>
        <v>-115.10234399077069</v>
      </c>
      <c r="I803" s="304">
        <f t="shared" ca="1" si="361"/>
        <v>115.56058998821223</v>
      </c>
      <c r="J803" s="306">
        <f t="shared" ca="1" si="362"/>
        <v>571.94845712139954</v>
      </c>
      <c r="K803" s="307">
        <f t="shared" ca="1" si="363"/>
        <v>1005.5663587759723</v>
      </c>
      <c r="L803" s="304">
        <f t="shared" ca="1" si="348"/>
        <v>1156.8443021882922</v>
      </c>
      <c r="M803" s="306">
        <f t="shared" ca="1" si="364"/>
        <v>-1.4817116352786019</v>
      </c>
      <c r="N803" s="304">
        <f t="shared" ca="1" si="365"/>
        <v>-84.895823156891424</v>
      </c>
      <c r="P803" s="310">
        <f t="shared" ca="1" si="366"/>
        <v>23</v>
      </c>
      <c r="Q803" s="304">
        <f t="shared" ca="1" si="367"/>
        <v>0</v>
      </c>
      <c r="R803" s="306">
        <f t="shared" ca="1" si="368"/>
        <v>0</v>
      </c>
      <c r="S803" s="307">
        <f t="shared" ca="1" si="369"/>
        <v>10.637999999999975</v>
      </c>
      <c r="T803" s="304">
        <f t="shared" ca="1" si="349"/>
        <v>104.35877999999975</v>
      </c>
      <c r="U803" s="311">
        <f t="shared" ca="1" si="350"/>
        <v>0</v>
      </c>
      <c r="V803" s="306">
        <f t="shared" ca="1" si="351"/>
        <v>1.107715012919809</v>
      </c>
      <c r="W803" s="304">
        <f t="shared" ca="1" si="352"/>
        <v>61.480250453572857</v>
      </c>
      <c r="Y803" s="314" t="str">
        <f t="shared" ca="1" si="370"/>
        <v/>
      </c>
      <c r="Z803" s="315" t="str">
        <f t="shared" ca="1" si="371"/>
        <v/>
      </c>
      <c r="AA803" s="316" t="str">
        <f t="shared" ca="1" si="372"/>
        <v/>
      </c>
      <c r="AC803" s="310" t="e">
        <f t="shared" ca="1" si="373"/>
        <v>#N/A</v>
      </c>
      <c r="AD803" s="323" t="e">
        <f t="shared" ca="1" si="374"/>
        <v>#N/A</v>
      </c>
      <c r="AE803" s="324" t="e">
        <f t="shared" ca="1" si="353"/>
        <v>#N/A</v>
      </c>
      <c r="AG803" s="306">
        <f t="shared" ca="1" si="375"/>
        <v>4.0380555642772809</v>
      </c>
      <c r="AH803" s="304">
        <f t="shared" ca="1" si="376"/>
        <v>-5.7323760824093366</v>
      </c>
    </row>
    <row r="804" spans="1:34" x14ac:dyDescent="0.25">
      <c r="A804" s="347">
        <f t="shared" ca="1" si="354"/>
        <v>0.1</v>
      </c>
      <c r="B804" s="304">
        <f t="shared" ca="1" si="355"/>
        <v>35.000000000000163</v>
      </c>
      <c r="D804" s="306">
        <f t="shared" ca="1" si="356"/>
        <v>-0.51416692675744424</v>
      </c>
      <c r="E804" s="307">
        <f t="shared" ca="1" si="357"/>
        <v>-4.0536119960187165</v>
      </c>
      <c r="F804" s="304">
        <f t="shared" ca="1" si="358"/>
        <v>4.0860907776061506</v>
      </c>
      <c r="G804" s="306">
        <f t="shared" ca="1" si="359"/>
        <v>10.229651649378479</v>
      </c>
      <c r="H804" s="307">
        <f t="shared" ca="1" si="360"/>
        <v>-115.50770519037256</v>
      </c>
      <c r="I804" s="304">
        <f t="shared" ca="1" si="361"/>
        <v>115.95980222134588</v>
      </c>
      <c r="J804" s="306">
        <f t="shared" ca="1" si="362"/>
        <v>572.97399312097116</v>
      </c>
      <c r="K804" s="307">
        <f t="shared" ca="1" si="363"/>
        <v>994.0358563169151</v>
      </c>
      <c r="L804" s="304">
        <f t="shared" ca="1" si="348"/>
        <v>1147.3475848393518</v>
      </c>
      <c r="M804" s="306">
        <f t="shared" ca="1" si="364"/>
        <v>-1.4824642801004433</v>
      </c>
      <c r="N804" s="304">
        <f t="shared" ca="1" si="365"/>
        <v>-84.938946528655308</v>
      </c>
      <c r="P804" s="310">
        <f t="shared" ca="1" si="366"/>
        <v>23</v>
      </c>
      <c r="Q804" s="304">
        <f t="shared" ca="1" si="367"/>
        <v>0</v>
      </c>
      <c r="R804" s="306">
        <f t="shared" ca="1" si="368"/>
        <v>0</v>
      </c>
      <c r="S804" s="307">
        <f t="shared" ca="1" si="369"/>
        <v>10.637999999999975</v>
      </c>
      <c r="T804" s="304">
        <f t="shared" ca="1" si="349"/>
        <v>104.35877999999975</v>
      </c>
      <c r="U804" s="311">
        <f t="shared" ca="1" si="350"/>
        <v>0</v>
      </c>
      <c r="V804" s="306">
        <f t="shared" ca="1" si="351"/>
        <v>1.1089962042246559</v>
      </c>
      <c r="W804" s="304">
        <f t="shared" ca="1" si="352"/>
        <v>61.977360567157959</v>
      </c>
      <c r="Y804" s="314" t="str">
        <f t="shared" ca="1" si="370"/>
        <v/>
      </c>
      <c r="Z804" s="315" t="str">
        <f t="shared" ca="1" si="371"/>
        <v/>
      </c>
      <c r="AA804" s="316" t="str">
        <f t="shared" ca="1" si="372"/>
        <v/>
      </c>
      <c r="AC804" s="310">
        <f t="shared" ca="1" si="373"/>
        <v>35.000000000000163</v>
      </c>
      <c r="AD804" s="323">
        <f t="shared" ca="1" si="374"/>
        <v>572.97399312097116</v>
      </c>
      <c r="AE804" s="324" t="e">
        <f t="shared" ca="1" si="353"/>
        <v>#N/A</v>
      </c>
      <c r="AG804" s="306">
        <f t="shared" ca="1" si="375"/>
        <v>3.9917938901549217</v>
      </c>
      <c r="AH804" s="304">
        <f t="shared" ca="1" si="376"/>
        <v>-5.7793053631860314</v>
      </c>
    </row>
    <row r="805" spans="1:34" x14ac:dyDescent="0.25">
      <c r="A805" s="347">
        <f t="shared" ca="1" si="354"/>
        <v>0.1</v>
      </c>
      <c r="B805" s="304">
        <f t="shared" ca="1" si="355"/>
        <v>35.100000000000165</v>
      </c>
      <c r="D805" s="306">
        <f t="shared" ca="1" si="356"/>
        <v>-0.51395662663669561</v>
      </c>
      <c r="E805" s="307">
        <f t="shared" ca="1" si="357"/>
        <v>-4.0066791690510088</v>
      </c>
      <c r="F805" s="304">
        <f t="shared" ca="1" si="358"/>
        <v>4.0395085564671174</v>
      </c>
      <c r="G805" s="306">
        <f t="shared" ca="1" si="359"/>
        <v>10.178255986714809</v>
      </c>
      <c r="H805" s="307">
        <f t="shared" ca="1" si="360"/>
        <v>-115.90837310727767</v>
      </c>
      <c r="I805" s="304">
        <f t="shared" ca="1" si="361"/>
        <v>116.35440623932978</v>
      </c>
      <c r="J805" s="306">
        <f t="shared" ca="1" si="362"/>
        <v>573.99438850277579</v>
      </c>
      <c r="K805" s="307">
        <f t="shared" ca="1" si="363"/>
        <v>982.4650524020326</v>
      </c>
      <c r="L805" s="304">
        <f t="shared" ca="1" si="348"/>
        <v>1137.8519838819125</v>
      </c>
      <c r="M805" s="306">
        <f t="shared" ca="1" si="364"/>
        <v>-1.4832080517017394</v>
      </c>
      <c r="N805" s="304">
        <f t="shared" ca="1" si="365"/>
        <v>-84.981561502331274</v>
      </c>
      <c r="P805" s="310">
        <f t="shared" ca="1" si="366"/>
        <v>23</v>
      </c>
      <c r="Q805" s="304">
        <f t="shared" ca="1" si="367"/>
        <v>0</v>
      </c>
      <c r="R805" s="306">
        <f t="shared" ca="1" si="368"/>
        <v>0</v>
      </c>
      <c r="S805" s="307">
        <f t="shared" ca="1" si="369"/>
        <v>10.637999999999975</v>
      </c>
      <c r="T805" s="304">
        <f t="shared" ca="1" si="349"/>
        <v>104.35877999999975</v>
      </c>
      <c r="U805" s="311">
        <f t="shared" ca="1" si="350"/>
        <v>0</v>
      </c>
      <c r="V805" s="306">
        <f t="shared" ca="1" si="351"/>
        <v>1.1102832890523782</v>
      </c>
      <c r="W805" s="304">
        <f t="shared" ca="1" si="352"/>
        <v>62.472308896512978</v>
      </c>
      <c r="Y805" s="314" t="str">
        <f t="shared" ca="1" si="370"/>
        <v/>
      </c>
      <c r="Z805" s="315" t="str">
        <f t="shared" ca="1" si="371"/>
        <v/>
      </c>
      <c r="AA805" s="316" t="str">
        <f t="shared" ca="1" si="372"/>
        <v/>
      </c>
      <c r="AC805" s="310" t="e">
        <f t="shared" ca="1" si="373"/>
        <v>#N/A</v>
      </c>
      <c r="AD805" s="323" t="e">
        <f t="shared" ca="1" si="374"/>
        <v>#N/A</v>
      </c>
      <c r="AE805" s="324" t="e">
        <f t="shared" ca="1" si="353"/>
        <v>#N/A</v>
      </c>
      <c r="AG805" s="306">
        <f t="shared" ca="1" si="375"/>
        <v>3.945718345779853</v>
      </c>
      <c r="AH805" s="304">
        <f t="shared" ca="1" si="376"/>
        <v>-5.8260350222934862</v>
      </c>
    </row>
    <row r="806" spans="1:34" x14ac:dyDescent="0.25">
      <c r="A806" s="347">
        <f t="shared" ca="1" si="354"/>
        <v>0.1</v>
      </c>
      <c r="B806" s="304">
        <f t="shared" ca="1" si="355"/>
        <v>35.200000000000166</v>
      </c>
      <c r="D806" s="306">
        <f t="shared" ca="1" si="356"/>
        <v>-0.51371010218562541</v>
      </c>
      <c r="E806" s="307">
        <f t="shared" ca="1" si="357"/>
        <v>-3.9599504167680344</v>
      </c>
      <c r="F806" s="304">
        <f t="shared" ca="1" si="358"/>
        <v>3.9931322758392183</v>
      </c>
      <c r="G806" s="306">
        <f t="shared" ca="1" si="359"/>
        <v>10.126884976496246</v>
      </c>
      <c r="H806" s="307">
        <f t="shared" ca="1" si="360"/>
        <v>-116.30436814895447</v>
      </c>
      <c r="I806" s="304">
        <f t="shared" ca="1" si="361"/>
        <v>116.74442106522572</v>
      </c>
      <c r="J806" s="306">
        <f t="shared" ca="1" si="362"/>
        <v>575.0096455509364</v>
      </c>
      <c r="K806" s="307">
        <f t="shared" ca="1" si="363"/>
        <v>970.85441533922096</v>
      </c>
      <c r="L806" s="304">
        <f t="shared" ca="1" si="348"/>
        <v>1128.3591574761442</v>
      </c>
      <c r="M806" s="306">
        <f t="shared" ca="1" si="364"/>
        <v>-1.4839431128111025</v>
      </c>
      <c r="N806" s="304">
        <f t="shared" ca="1" si="365"/>
        <v>-85.023677401581978</v>
      </c>
      <c r="P806" s="310">
        <f t="shared" ca="1" si="366"/>
        <v>23</v>
      </c>
      <c r="Q806" s="304">
        <f t="shared" ca="1" si="367"/>
        <v>0</v>
      </c>
      <c r="R806" s="306">
        <f t="shared" ca="1" si="368"/>
        <v>0</v>
      </c>
      <c r="S806" s="307">
        <f t="shared" ca="1" si="369"/>
        <v>10.637999999999975</v>
      </c>
      <c r="T806" s="304">
        <f t="shared" ca="1" si="349"/>
        <v>104.35877999999975</v>
      </c>
      <c r="U806" s="311">
        <f t="shared" ca="1" si="350"/>
        <v>0</v>
      </c>
      <c r="V806" s="306">
        <f t="shared" ca="1" si="351"/>
        <v>1.1115762323998941</v>
      </c>
      <c r="W806" s="304">
        <f t="shared" ca="1" si="352"/>
        <v>62.965058215624893</v>
      </c>
      <c r="Y806" s="314" t="str">
        <f t="shared" ca="1" si="370"/>
        <v/>
      </c>
      <c r="Z806" s="315" t="str">
        <f t="shared" ca="1" si="371"/>
        <v/>
      </c>
      <c r="AA806" s="316" t="str">
        <f t="shared" ca="1" si="372"/>
        <v/>
      </c>
      <c r="AC806" s="310" t="e">
        <f t="shared" ca="1" si="373"/>
        <v>#N/A</v>
      </c>
      <c r="AD806" s="323" t="e">
        <f t="shared" ca="1" si="374"/>
        <v>#N/A</v>
      </c>
      <c r="AE806" s="324" t="e">
        <f t="shared" ca="1" si="353"/>
        <v>#N/A</v>
      </c>
      <c r="AG806" s="306">
        <f t="shared" ca="1" si="375"/>
        <v>3.8998328652609526</v>
      </c>
      <c r="AH806" s="304">
        <f t="shared" ca="1" si="376"/>
        <v>-5.8725614679933376</v>
      </c>
    </row>
    <row r="807" spans="1:34" x14ac:dyDescent="0.25">
      <c r="A807" s="347">
        <f t="shared" ca="1" si="354"/>
        <v>0.1</v>
      </c>
      <c r="B807" s="304">
        <f t="shared" ca="1" si="355"/>
        <v>35.300000000000168</v>
      </c>
      <c r="D807" s="306">
        <f t="shared" ca="1" si="356"/>
        <v>-0.51342778151258017</v>
      </c>
      <c r="E807" s="307">
        <f t="shared" ca="1" si="357"/>
        <v>-3.9134292521805376</v>
      </c>
      <c r="F807" s="304">
        <f t="shared" ca="1" si="358"/>
        <v>3.9469654924576236</v>
      </c>
      <c r="G807" s="306">
        <f t="shared" ca="1" si="359"/>
        <v>10.075542198344989</v>
      </c>
      <c r="H807" s="307">
        <f t="shared" ca="1" si="360"/>
        <v>-116.69571107417252</v>
      </c>
      <c r="I807" s="304">
        <f t="shared" ca="1" si="361"/>
        <v>117.1298661046677</v>
      </c>
      <c r="J807" s="306">
        <f t="shared" ca="1" si="362"/>
        <v>576.01976690967842</v>
      </c>
      <c r="K807" s="307">
        <f t="shared" ca="1" si="363"/>
        <v>959.20441137806461</v>
      </c>
      <c r="L807" s="304">
        <f t="shared" ca="1" si="348"/>
        <v>1118.8708033896585</v>
      </c>
      <c r="M807" s="306">
        <f t="shared" ca="1" si="364"/>
        <v>-1.4846696220476236</v>
      </c>
      <c r="N807" s="304">
        <f t="shared" ca="1" si="365"/>
        <v>-85.06530331461191</v>
      </c>
      <c r="P807" s="310">
        <f t="shared" ca="1" si="366"/>
        <v>23</v>
      </c>
      <c r="Q807" s="304">
        <f t="shared" ca="1" si="367"/>
        <v>0</v>
      </c>
      <c r="R807" s="306">
        <f t="shared" ca="1" si="368"/>
        <v>0</v>
      </c>
      <c r="S807" s="307">
        <f t="shared" ca="1" si="369"/>
        <v>10.637999999999975</v>
      </c>
      <c r="T807" s="304">
        <f t="shared" ca="1" si="349"/>
        <v>104.35877999999975</v>
      </c>
      <c r="U807" s="311">
        <f t="shared" ca="1" si="350"/>
        <v>0</v>
      </c>
      <c r="V807" s="306">
        <f t="shared" ca="1" si="351"/>
        <v>1.112874999367796</v>
      </c>
      <c r="W807" s="304">
        <f t="shared" ca="1" si="352"/>
        <v>63.455572276623428</v>
      </c>
      <c r="Y807" s="314" t="str">
        <f t="shared" ca="1" si="370"/>
        <v/>
      </c>
      <c r="Z807" s="315" t="str">
        <f t="shared" ca="1" si="371"/>
        <v/>
      </c>
      <c r="AA807" s="316" t="str">
        <f t="shared" ca="1" si="372"/>
        <v/>
      </c>
      <c r="AC807" s="310" t="e">
        <f t="shared" ca="1" si="373"/>
        <v>#N/A</v>
      </c>
      <c r="AD807" s="323" t="e">
        <f t="shared" ca="1" si="374"/>
        <v>#N/A</v>
      </c>
      <c r="AE807" s="324" t="e">
        <f t="shared" ca="1" si="353"/>
        <v>#N/A</v>
      </c>
      <c r="AG807" s="306">
        <f t="shared" ca="1" si="375"/>
        <v>3.8541412795390713</v>
      </c>
      <c r="AH807" s="304">
        <f t="shared" ca="1" si="376"/>
        <v>-5.9188812009423799</v>
      </c>
    </row>
    <row r="808" spans="1:34" x14ac:dyDescent="0.25">
      <c r="A808" s="347">
        <f t="shared" ca="1" si="354"/>
        <v>0.1</v>
      </c>
      <c r="B808" s="304">
        <f t="shared" ca="1" si="355"/>
        <v>35.400000000000169</v>
      </c>
      <c r="D808" s="306">
        <f t="shared" ca="1" si="356"/>
        <v>-0.51311009442225353</v>
      </c>
      <c r="E808" s="307">
        <f t="shared" ca="1" si="357"/>
        <v>-3.8671190960049513</v>
      </c>
      <c r="F808" s="304">
        <f t="shared" ca="1" si="358"/>
        <v>3.9010116728464381</v>
      </c>
      <c r="G808" s="306">
        <f t="shared" ca="1" si="359"/>
        <v>10.024231188902764</v>
      </c>
      <c r="H808" s="307">
        <f t="shared" ca="1" si="360"/>
        <v>-117.08242298377301</v>
      </c>
      <c r="I808" s="304">
        <f t="shared" ca="1" si="361"/>
        <v>117.51076113564966</v>
      </c>
      <c r="J808" s="306">
        <f t="shared" ca="1" si="362"/>
        <v>577.02475557904086</v>
      </c>
      <c r="K808" s="307">
        <f t="shared" ca="1" si="363"/>
        <v>947.51550467516734</v>
      </c>
      <c r="L808" s="304">
        <f t="shared" ca="1" si="348"/>
        <v>1109.3886605472803</v>
      </c>
      <c r="M808" s="306">
        <f t="shared" ca="1" si="364"/>
        <v>-1.4853877340489743</v>
      </c>
      <c r="N808" s="304">
        <f t="shared" ca="1" si="365"/>
        <v>-85.106448101506999</v>
      </c>
      <c r="P808" s="310">
        <f t="shared" ca="1" si="366"/>
        <v>23</v>
      </c>
      <c r="Q808" s="304">
        <f t="shared" ca="1" si="367"/>
        <v>0</v>
      </c>
      <c r="R808" s="306">
        <f t="shared" ca="1" si="368"/>
        <v>0</v>
      </c>
      <c r="S808" s="307">
        <f t="shared" ca="1" si="369"/>
        <v>10.637999999999975</v>
      </c>
      <c r="T808" s="304">
        <f t="shared" ca="1" si="349"/>
        <v>104.35877999999975</v>
      </c>
      <c r="U808" s="311">
        <f t="shared" ca="1" si="350"/>
        <v>0</v>
      </c>
      <c r="V808" s="306">
        <f t="shared" ca="1" si="351"/>
        <v>1.1141795551631859</v>
      </c>
      <c r="W808" s="304">
        <f t="shared" ca="1" si="352"/>
        <v>63.943815804715712</v>
      </c>
      <c r="Y808" s="314" t="str">
        <f t="shared" ca="1" si="370"/>
        <v/>
      </c>
      <c r="Z808" s="315" t="str">
        <f t="shared" ca="1" si="371"/>
        <v/>
      </c>
      <c r="AA808" s="316" t="str">
        <f t="shared" ca="1" si="372"/>
        <v/>
      </c>
      <c r="AC808" s="310" t="e">
        <f t="shared" ca="1" si="373"/>
        <v>#N/A</v>
      </c>
      <c r="AD808" s="323" t="e">
        <f t="shared" ca="1" si="374"/>
        <v>#N/A</v>
      </c>
      <c r="AE808" s="324" t="e">
        <f t="shared" ca="1" si="353"/>
        <v>#N/A</v>
      </c>
      <c r="AG808" s="306">
        <f t="shared" ca="1" si="375"/>
        <v>3.8086473172386155</v>
      </c>
      <c r="AH808" s="304">
        <f t="shared" ca="1" si="376"/>
        <v>-5.9649908137454011</v>
      </c>
    </row>
    <row r="809" spans="1:34" x14ac:dyDescent="0.25">
      <c r="A809" s="347">
        <f t="shared" ca="1" si="354"/>
        <v>0.1</v>
      </c>
      <c r="B809" s="304">
        <f t="shared" ca="1" si="355"/>
        <v>35.500000000000171</v>
      </c>
      <c r="D809" s="306">
        <f t="shared" ca="1" si="356"/>
        <v>-0.51275747225715185</v>
      </c>
      <c r="E809" s="307">
        <f t="shared" ca="1" si="357"/>
        <v>-3.8210232771403732</v>
      </c>
      <c r="F809" s="304">
        <f t="shared" ca="1" si="358"/>
        <v>3.8552741938549717</v>
      </c>
      <c r="G809" s="306">
        <f t="shared" ca="1" si="359"/>
        <v>9.9729554416770494</v>
      </c>
      <c r="H809" s="307">
        <f t="shared" ca="1" si="360"/>
        <v>-117.46452531148705</v>
      </c>
      <c r="I809" s="304">
        <f t="shared" ca="1" si="361"/>
        <v>117.88712629839893</v>
      </c>
      <c r="J809" s="306">
        <f t="shared" ca="1" si="362"/>
        <v>578.02461491056988</v>
      </c>
      <c r="K809" s="307">
        <f t="shared" ca="1" si="363"/>
        <v>935.78815726040432</v>
      </c>
      <c r="L809" s="304">
        <f t="shared" ca="1" si="348"/>
        <v>1099.9145106376839</v>
      </c>
      <c r="M809" s="306">
        <f t="shared" ca="1" si="364"/>
        <v>-1.4860975995947774</v>
      </c>
      <c r="N809" s="304">
        <f t="shared" ca="1" si="365"/>
        <v>-85.147120401303269</v>
      </c>
      <c r="P809" s="310">
        <f t="shared" ca="1" si="366"/>
        <v>23</v>
      </c>
      <c r="Q809" s="304">
        <f t="shared" ca="1" si="367"/>
        <v>0</v>
      </c>
      <c r="R809" s="306">
        <f t="shared" ca="1" si="368"/>
        <v>0</v>
      </c>
      <c r="S809" s="307">
        <f t="shared" ca="1" si="369"/>
        <v>10.637999999999975</v>
      </c>
      <c r="T809" s="304">
        <f t="shared" ca="1" si="349"/>
        <v>104.35877999999975</v>
      </c>
      <c r="U809" s="311">
        <f t="shared" ca="1" si="350"/>
        <v>0</v>
      </c>
      <c r="V809" s="306">
        <f t="shared" ca="1" si="351"/>
        <v>1.1154898651024561</v>
      </c>
      <c r="W809" s="304">
        <f t="shared" ca="1" si="352"/>
        <v>64.429754492820948</v>
      </c>
      <c r="Y809" s="314" t="str">
        <f t="shared" ca="1" si="370"/>
        <v/>
      </c>
      <c r="Z809" s="315" t="str">
        <f t="shared" ca="1" si="371"/>
        <v/>
      </c>
      <c r="AA809" s="316" t="str">
        <f t="shared" ca="1" si="372"/>
        <v/>
      </c>
      <c r="AC809" s="310" t="e">
        <f t="shared" ca="1" si="373"/>
        <v>#N/A</v>
      </c>
      <c r="AD809" s="323" t="e">
        <f t="shared" ca="1" si="374"/>
        <v>#N/A</v>
      </c>
      <c r="AE809" s="324" t="e">
        <f t="shared" ca="1" si="353"/>
        <v>#N/A</v>
      </c>
      <c r="AG809" s="306">
        <f t="shared" ca="1" si="375"/>
        <v>3.7633546055305604</v>
      </c>
      <c r="AH809" s="304">
        <f t="shared" ca="1" si="376"/>
        <v>-6.0108869904790243</v>
      </c>
    </row>
    <row r="810" spans="1:34" x14ac:dyDescent="0.25">
      <c r="A810" s="347">
        <f t="shared" ca="1" si="354"/>
        <v>0.1</v>
      </c>
      <c r="B810" s="304">
        <f t="shared" ca="1" si="355"/>
        <v>35.600000000000172</v>
      </c>
      <c r="D810" s="306">
        <f t="shared" ca="1" si="356"/>
        <v>-0.51237034774152912</v>
      </c>
      <c r="E810" s="307">
        <f t="shared" ca="1" si="357"/>
        <v>-3.7751450331738923</v>
      </c>
      <c r="F810" s="304">
        <f t="shared" ca="1" si="358"/>
        <v>3.8097563432248895</v>
      </c>
      <c r="G810" s="306">
        <f t="shared" ca="1" si="359"/>
        <v>9.9217184069028956</v>
      </c>
      <c r="H810" s="307">
        <f t="shared" ca="1" si="360"/>
        <v>-117.84203981480444</v>
      </c>
      <c r="I810" s="304">
        <f t="shared" ca="1" si="361"/>
        <v>118.25898208533603</v>
      </c>
      <c r="J810" s="306">
        <f t="shared" ca="1" si="362"/>
        <v>579.01934860299889</v>
      </c>
      <c r="K810" s="307">
        <f t="shared" ca="1" si="363"/>
        <v>924.02282900408977</v>
      </c>
      <c r="L810" s="304">
        <f t="shared" ca="1" si="348"/>
        <v>1090.4501797777662</v>
      </c>
      <c r="M810" s="306">
        <f t="shared" ca="1" si="364"/>
        <v>-1.4867993657254537</v>
      </c>
      <c r="N810" s="304">
        <f t="shared" ca="1" si="365"/>
        <v>-85.187328638796245</v>
      </c>
      <c r="P810" s="310">
        <f t="shared" ca="1" si="366"/>
        <v>23</v>
      </c>
      <c r="Q810" s="304">
        <f t="shared" ca="1" si="367"/>
        <v>0</v>
      </c>
      <c r="R810" s="306">
        <f t="shared" ca="1" si="368"/>
        <v>0</v>
      </c>
      <c r="S810" s="307">
        <f t="shared" ca="1" si="369"/>
        <v>10.637999999999975</v>
      </c>
      <c r="T810" s="304">
        <f t="shared" ca="1" si="349"/>
        <v>104.35877999999975</v>
      </c>
      <c r="U810" s="311">
        <f t="shared" ca="1" si="350"/>
        <v>0</v>
      </c>
      <c r="V810" s="306">
        <f t="shared" ca="1" si="351"/>
        <v>1.1168058946140151</v>
      </c>
      <c r="W810" s="304">
        <f t="shared" ca="1" si="352"/>
        <v>64.913354995914133</v>
      </c>
      <c r="Y810" s="314" t="str">
        <f t="shared" ca="1" si="370"/>
        <v/>
      </c>
      <c r="Z810" s="315" t="str">
        <f t="shared" ca="1" si="371"/>
        <v/>
      </c>
      <c r="AA810" s="316" t="str">
        <f t="shared" ca="1" si="372"/>
        <v/>
      </c>
      <c r="AC810" s="310" t="e">
        <f t="shared" ca="1" si="373"/>
        <v>#N/A</v>
      </c>
      <c r="AD810" s="323" t="e">
        <f t="shared" ca="1" si="374"/>
        <v>#N/A</v>
      </c>
      <c r="AE810" s="324" t="e">
        <f t="shared" ca="1" si="353"/>
        <v>#N/A</v>
      </c>
      <c r="AG810" s="306">
        <f t="shared" ca="1" si="375"/>
        <v>3.7182666710069734</v>
      </c>
      <c r="AH810" s="304">
        <f t="shared" ca="1" si="376"/>
        <v>-6.0565665061873561</v>
      </c>
    </row>
    <row r="811" spans="1:34" x14ac:dyDescent="0.25">
      <c r="A811" s="347">
        <f t="shared" ca="1" si="354"/>
        <v>0.1</v>
      </c>
      <c r="B811" s="304">
        <f t="shared" ca="1" si="355"/>
        <v>35.700000000000173</v>
      </c>
      <c r="D811" s="306">
        <f t="shared" ca="1" si="356"/>
        <v>-0.51194915482780112</v>
      </c>
      <c r="E811" s="307">
        <f t="shared" ca="1" si="357"/>
        <v>-3.7294875109134313</v>
      </c>
      <c r="F811" s="304">
        <f t="shared" ca="1" si="358"/>
        <v>3.7644613201875461</v>
      </c>
      <c r="G811" s="306">
        <f t="shared" ca="1" si="359"/>
        <v>9.8705234914201156</v>
      </c>
      <c r="H811" s="307">
        <f t="shared" ca="1" si="360"/>
        <v>-118.21498856589578</v>
      </c>
      <c r="I811" s="304">
        <f t="shared" ca="1" si="361"/>
        <v>118.62634933112267</v>
      </c>
      <c r="J811" s="306">
        <f t="shared" ca="1" si="362"/>
        <v>580.00896069791509</v>
      </c>
      <c r="K811" s="307">
        <f t="shared" ca="1" si="363"/>
        <v>912.21997758505472</v>
      </c>
      <c r="L811" s="304">
        <f t="shared" ca="1" si="348"/>
        <v>1080.9975402354778</v>
      </c>
      <c r="M811" s="306">
        <f t="shared" ca="1" si="364"/>
        <v>-1.4874931758567316</v>
      </c>
      <c r="N811" s="304">
        <f t="shared" ca="1" si="365"/>
        <v>-85.227081031101875</v>
      </c>
      <c r="P811" s="310">
        <f t="shared" ca="1" si="366"/>
        <v>23</v>
      </c>
      <c r="Q811" s="304">
        <f t="shared" ca="1" si="367"/>
        <v>0</v>
      </c>
      <c r="R811" s="306">
        <f t="shared" ca="1" si="368"/>
        <v>0</v>
      </c>
      <c r="S811" s="307">
        <f t="shared" ca="1" si="369"/>
        <v>10.637999999999975</v>
      </c>
      <c r="T811" s="304">
        <f t="shared" ca="1" si="349"/>
        <v>104.35877999999975</v>
      </c>
      <c r="U811" s="311">
        <f t="shared" ca="1" si="350"/>
        <v>0</v>
      </c>
      <c r="V811" s="306">
        <f t="shared" ca="1" si="351"/>
        <v>1.1181276092409644</v>
      </c>
      <c r="W811" s="304">
        <f t="shared" ca="1" si="352"/>
        <v>65.394584925088182</v>
      </c>
      <c r="Y811" s="314" t="str">
        <f t="shared" ca="1" si="370"/>
        <v/>
      </c>
      <c r="Z811" s="315" t="str">
        <f t="shared" ca="1" si="371"/>
        <v/>
      </c>
      <c r="AA811" s="316" t="str">
        <f t="shared" ca="1" si="372"/>
        <v/>
      </c>
      <c r="AC811" s="310" t="e">
        <f t="shared" ca="1" si="373"/>
        <v>#N/A</v>
      </c>
      <c r="AD811" s="323" t="e">
        <f t="shared" ca="1" si="374"/>
        <v>#N/A</v>
      </c>
      <c r="AE811" s="324" t="e">
        <f t="shared" ca="1" si="353"/>
        <v>#N/A</v>
      </c>
      <c r="AG811" s="306">
        <f t="shared" ca="1" si="375"/>
        <v>3.6733869405670232</v>
      </c>
      <c r="AH811" s="304">
        <f t="shared" ca="1" si="376"/>
        <v>-6.1020262263502802</v>
      </c>
    </row>
    <row r="812" spans="1:34" x14ac:dyDescent="0.25">
      <c r="A812" s="347">
        <f t="shared" ca="1" si="354"/>
        <v>0.1</v>
      </c>
      <c r="B812" s="304">
        <f t="shared" ca="1" si="355"/>
        <v>35.800000000000175</v>
      </c>
      <c r="D812" s="306">
        <f t="shared" ca="1" si="356"/>
        <v>-0.51149432854547849</v>
      </c>
      <c r="E812" s="307">
        <f t="shared" ca="1" si="357"/>
        <v>-3.684053766947204</v>
      </c>
      <c r="F812" s="304">
        <f t="shared" ca="1" si="358"/>
        <v>3.7193922360907399</v>
      </c>
      <c r="G812" s="306">
        <f t="shared" ca="1" si="359"/>
        <v>9.8193740585655682</v>
      </c>
      <c r="H812" s="307">
        <f t="shared" ca="1" si="360"/>
        <v>-118.5833939425905</v>
      </c>
      <c r="I812" s="304">
        <f t="shared" ca="1" si="361"/>
        <v>118.98924920279832</v>
      </c>
      <c r="J812" s="306">
        <f t="shared" ca="1" si="362"/>
        <v>580.99345557541437</v>
      </c>
      <c r="K812" s="307">
        <f t="shared" ca="1" si="363"/>
        <v>900.38005845963039</v>
      </c>
      <c r="L812" s="304">
        <f t="shared" ca="1" si="348"/>
        <v>1071.5585122116424</v>
      </c>
      <c r="M812" s="306">
        <f t="shared" ca="1" si="364"/>
        <v>-1.4881791698900066</v>
      </c>
      <c r="N812" s="304">
        <f t="shared" ca="1" si="365"/>
        <v>-85.266385593979706</v>
      </c>
      <c r="P812" s="310">
        <f t="shared" ca="1" si="366"/>
        <v>23</v>
      </c>
      <c r="Q812" s="304">
        <f t="shared" ca="1" si="367"/>
        <v>0</v>
      </c>
      <c r="R812" s="306">
        <f t="shared" ca="1" si="368"/>
        <v>0</v>
      </c>
      <c r="S812" s="307">
        <f t="shared" ca="1" si="369"/>
        <v>10.637999999999975</v>
      </c>
      <c r="T812" s="304">
        <f t="shared" ca="1" si="349"/>
        <v>104.35877999999975</v>
      </c>
      <c r="U812" s="311">
        <f t="shared" ca="1" si="350"/>
        <v>0</v>
      </c>
      <c r="V812" s="306">
        <f t="shared" ca="1" si="351"/>
        <v>1.1194549746437159</v>
      </c>
      <c r="W812" s="304">
        <f t="shared" ca="1" si="352"/>
        <v>65.873412841342429</v>
      </c>
      <c r="Y812" s="314" t="str">
        <f t="shared" ca="1" si="370"/>
        <v/>
      </c>
      <c r="Z812" s="315" t="str">
        <f t="shared" ca="1" si="371"/>
        <v/>
      </c>
      <c r="AA812" s="316" t="str">
        <f t="shared" ca="1" si="372"/>
        <v/>
      </c>
      <c r="AC812" s="310" t="e">
        <f t="shared" ca="1" si="373"/>
        <v>#N/A</v>
      </c>
      <c r="AD812" s="323" t="e">
        <f t="shared" ca="1" si="374"/>
        <v>#N/A</v>
      </c>
      <c r="AE812" s="324" t="e">
        <f t="shared" ca="1" si="353"/>
        <v>#N/A</v>
      </c>
      <c r="AG812" s="306">
        <f t="shared" ca="1" si="375"/>
        <v>3.6287187423143363</v>
      </c>
      <c r="AH812" s="304">
        <f t="shared" ca="1" si="376"/>
        <v>-6.1472631063252807</v>
      </c>
    </row>
    <row r="813" spans="1:34" x14ac:dyDescent="0.25">
      <c r="A813" s="347">
        <f t="shared" ca="1" si="354"/>
        <v>0.1</v>
      </c>
      <c r="B813" s="304">
        <f t="shared" ca="1" si="355"/>
        <v>35.900000000000176</v>
      </c>
      <c r="D813" s="306">
        <f t="shared" ca="1" si="356"/>
        <v>-0.51100630485261234</v>
      </c>
      <c r="E813" s="307">
        <f t="shared" ca="1" si="357"/>
        <v>-3.6388467682290395</v>
      </c>
      <c r="F813" s="304">
        <f t="shared" ca="1" si="358"/>
        <v>3.6745521150543023</v>
      </c>
      <c r="G813" s="306">
        <f t="shared" ca="1" si="359"/>
        <v>9.7682734280803079</v>
      </c>
      <c r="H813" s="307">
        <f t="shared" ca="1" si="360"/>
        <v>-118.94727861941341</v>
      </c>
      <c r="I813" s="304">
        <f t="shared" ca="1" si="361"/>
        <v>119.34770319000739</v>
      </c>
      <c r="J813" s="306">
        <f t="shared" ca="1" si="362"/>
        <v>581.97283794974669</v>
      </c>
      <c r="K813" s="307">
        <f t="shared" ca="1" si="363"/>
        <v>888.50352483153017</v>
      </c>
      <c r="L813" s="304">
        <f t="shared" ca="1" si="348"/>
        <v>1062.1350656810723</v>
      </c>
      <c r="M813" s="306">
        <f t="shared" ca="1" si="364"/>
        <v>-1.4888574843187217</v>
      </c>
      <c r="N813" s="304">
        <f t="shared" ca="1" si="365"/>
        <v>-85.305250147927893</v>
      </c>
      <c r="P813" s="310">
        <f t="shared" ca="1" si="366"/>
        <v>23</v>
      </c>
      <c r="Q813" s="304">
        <f t="shared" ca="1" si="367"/>
        <v>0</v>
      </c>
      <c r="R813" s="306">
        <f t="shared" ca="1" si="368"/>
        <v>0</v>
      </c>
      <c r="S813" s="307">
        <f t="shared" ca="1" si="369"/>
        <v>10.637999999999975</v>
      </c>
      <c r="T813" s="304">
        <f t="shared" ca="1" si="349"/>
        <v>104.35877999999975</v>
      </c>
      <c r="U813" s="311">
        <f t="shared" ca="1" si="350"/>
        <v>0</v>
      </c>
      <c r="V813" s="306">
        <f t="shared" ca="1" si="351"/>
        <v>1.1207879566025638</v>
      </c>
      <c r="W813" s="304">
        <f t="shared" ca="1" si="352"/>
        <v>66.349808249107681</v>
      </c>
      <c r="Y813" s="314" t="str">
        <f t="shared" ca="1" si="370"/>
        <v/>
      </c>
      <c r="Z813" s="315" t="str">
        <f t="shared" ca="1" si="371"/>
        <v/>
      </c>
      <c r="AA813" s="316" t="str">
        <f t="shared" ca="1" si="372"/>
        <v/>
      </c>
      <c r="AC813" s="310" t="e">
        <f t="shared" ca="1" si="373"/>
        <v>#N/A</v>
      </c>
      <c r="AD813" s="323" t="e">
        <f t="shared" ca="1" si="374"/>
        <v>#N/A</v>
      </c>
      <c r="AE813" s="324" t="e">
        <f t="shared" ca="1" si="353"/>
        <v>#N/A</v>
      </c>
      <c r="AG813" s="306">
        <f t="shared" ca="1" si="375"/>
        <v>3.5842653064657144</v>
      </c>
      <c r="AH813" s="304">
        <f t="shared" ca="1" si="376"/>
        <v>-6.1922741907635439</v>
      </c>
    </row>
    <row r="814" spans="1:34" x14ac:dyDescent="0.25">
      <c r="A814" s="347">
        <f t="shared" ca="1" si="354"/>
        <v>0.1</v>
      </c>
      <c r="B814" s="304">
        <f t="shared" ca="1" si="355"/>
        <v>36.000000000000178</v>
      </c>
      <c r="D814" s="306">
        <f t="shared" ca="1" si="356"/>
        <v>-0.51048552048980045</v>
      </c>
      <c r="E814" s="307">
        <f t="shared" ca="1" si="357"/>
        <v>-3.5938693926886076</v>
      </c>
      <c r="F814" s="304">
        <f t="shared" ca="1" si="358"/>
        <v>3.6299438946537075</v>
      </c>
      <c r="G814" s="306">
        <f t="shared" ca="1" si="359"/>
        <v>9.7172248760313273</v>
      </c>
      <c r="H814" s="307">
        <f t="shared" ca="1" si="360"/>
        <v>-119.30666555868227</v>
      </c>
      <c r="I814" s="304">
        <f t="shared" ca="1" si="361"/>
        <v>119.70173309531748</v>
      </c>
      <c r="J814" s="306">
        <f t="shared" ca="1" si="362"/>
        <v>582.94711286495226</v>
      </c>
      <c r="K814" s="307">
        <f t="shared" ca="1" si="363"/>
        <v>876.5908276226254</v>
      </c>
      <c r="L814" s="304">
        <f t="shared" ca="1" si="348"/>
        <v>1052.7292222930371</v>
      </c>
      <c r="M814" s="306">
        <f t="shared" ca="1" si="364"/>
        <v>-1.4895282523309361</v>
      </c>
      <c r="N814" s="304">
        <f t="shared" ca="1" si="365"/>
        <v>-85.343682324060168</v>
      </c>
      <c r="P814" s="310">
        <f t="shared" ca="1" si="366"/>
        <v>23</v>
      </c>
      <c r="Q814" s="304">
        <f t="shared" ca="1" si="367"/>
        <v>0</v>
      </c>
      <c r="R814" s="306">
        <f t="shared" ca="1" si="368"/>
        <v>0</v>
      </c>
      <c r="S814" s="307">
        <f t="shared" ca="1" si="369"/>
        <v>10.637999999999975</v>
      </c>
      <c r="T814" s="304">
        <f t="shared" ca="1" si="349"/>
        <v>104.35877999999975</v>
      </c>
      <c r="U814" s="311">
        <f t="shared" ca="1" si="350"/>
        <v>0</v>
      </c>
      <c r="V814" s="306">
        <f t="shared" ca="1" si="351"/>
        <v>1.1221265210201947</v>
      </c>
      <c r="W814" s="304">
        <f t="shared" ca="1" si="352"/>
        <v>66.823741589515393</v>
      </c>
      <c r="Y814" s="314" t="str">
        <f t="shared" ca="1" si="370"/>
        <v/>
      </c>
      <c r="Z814" s="315" t="str">
        <f t="shared" ca="1" si="371"/>
        <v/>
      </c>
      <c r="AA814" s="316" t="str">
        <f t="shared" ca="1" si="372"/>
        <v/>
      </c>
      <c r="AC814" s="310">
        <f t="shared" ca="1" si="373"/>
        <v>36.000000000000178</v>
      </c>
      <c r="AD814" s="323">
        <f t="shared" ca="1" si="374"/>
        <v>582.94711286495226</v>
      </c>
      <c r="AE814" s="324" t="e">
        <f t="shared" ca="1" si="353"/>
        <v>#N/A</v>
      </c>
      <c r="AG814" s="306">
        <f t="shared" ca="1" si="375"/>
        <v>3.5400297662709246</v>
      </c>
      <c r="AH814" s="304">
        <f t="shared" ca="1" si="376"/>
        <v>-6.2370566130013003</v>
      </c>
    </row>
    <row r="815" spans="1:34" x14ac:dyDescent="0.25">
      <c r="A815" s="347">
        <f t="shared" ca="1" si="354"/>
        <v>0.1</v>
      </c>
      <c r="B815" s="304">
        <f t="shared" ca="1" si="355"/>
        <v>36.100000000000179</v>
      </c>
      <c r="D815" s="306">
        <f t="shared" ca="1" si="356"/>
        <v>-0.50993241283673729</v>
      </c>
      <c r="E815" s="307">
        <f t="shared" ca="1" si="357"/>
        <v>-3.5491244298658362</v>
      </c>
      <c r="F815" s="304">
        <f t="shared" ca="1" si="358"/>
        <v>3.5855704266311652</v>
      </c>
      <c r="G815" s="306">
        <f t="shared" ca="1" si="359"/>
        <v>9.6662316347476533</v>
      </c>
      <c r="H815" s="307">
        <f t="shared" ca="1" si="360"/>
        <v>-119.66157800166886</v>
      </c>
      <c r="I815" s="304">
        <f t="shared" ca="1" si="361"/>
        <v>120.05136102463011</v>
      </c>
      <c r="J815" s="306">
        <f t="shared" ca="1" si="362"/>
        <v>583.91628569049124</v>
      </c>
      <c r="K815" s="307">
        <f t="shared" ca="1" si="363"/>
        <v>864.64241544460788</v>
      </c>
      <c r="L815" s="304">
        <f t="shared" ca="1" si="348"/>
        <v>1043.3430573308403</v>
      </c>
      <c r="M815" s="306">
        <f t="shared" ca="1" si="364"/>
        <v>-1.4901916039082399</v>
      </c>
      <c r="N815" s="304">
        <f t="shared" ca="1" si="365"/>
        <v>-85.381689569773016</v>
      </c>
      <c r="P815" s="310">
        <f t="shared" ca="1" si="366"/>
        <v>23</v>
      </c>
      <c r="Q815" s="304">
        <f t="shared" ca="1" si="367"/>
        <v>0</v>
      </c>
      <c r="R815" s="306">
        <f t="shared" ca="1" si="368"/>
        <v>0</v>
      </c>
      <c r="S815" s="307">
        <f t="shared" ca="1" si="369"/>
        <v>10.637999999999975</v>
      </c>
      <c r="T815" s="304">
        <f t="shared" ca="1" si="349"/>
        <v>104.35877999999975</v>
      </c>
      <c r="U815" s="311">
        <f t="shared" ca="1" si="350"/>
        <v>0</v>
      </c>
      <c r="V815" s="306">
        <f t="shared" ca="1" si="351"/>
        <v>1.1234706339241547</v>
      </c>
      <c r="W815" s="304">
        <f t="shared" ca="1" si="352"/>
        <v>67.295184233420983</v>
      </c>
      <c r="Y815" s="314" t="str">
        <f t="shared" ca="1" si="370"/>
        <v/>
      </c>
      <c r="Z815" s="315" t="str">
        <f t="shared" ca="1" si="371"/>
        <v/>
      </c>
      <c r="AA815" s="316" t="str">
        <f t="shared" ca="1" si="372"/>
        <v/>
      </c>
      <c r="AC815" s="310" t="e">
        <f t="shared" ca="1" si="373"/>
        <v>#N/A</v>
      </c>
      <c r="AD815" s="323" t="e">
        <f t="shared" ca="1" si="374"/>
        <v>#N/A</v>
      </c>
      <c r="AE815" s="324" t="e">
        <f t="shared" ca="1" si="353"/>
        <v>#N/A</v>
      </c>
      <c r="AG815" s="306">
        <f t="shared" ca="1" si="375"/>
        <v>3.4960151589435124</v>
      </c>
      <c r="AH815" s="304">
        <f t="shared" ca="1" si="376"/>
        <v>-6.2816075944271059</v>
      </c>
    </row>
    <row r="816" spans="1:34" x14ac:dyDescent="0.25">
      <c r="A816" s="347">
        <f t="shared" ca="1" si="354"/>
        <v>0.1</v>
      </c>
      <c r="B816" s="304">
        <f t="shared" ca="1" si="355"/>
        <v>36.20000000000018</v>
      </c>
      <c r="D816" s="306">
        <f t="shared" ca="1" si="356"/>
        <v>-0.50934741977135289</v>
      </c>
      <c r="E816" s="307">
        <f t="shared" ca="1" si="357"/>
        <v>-3.5046145815685668</v>
      </c>
      <c r="F816" s="304">
        <f t="shared" ca="1" si="358"/>
        <v>3.5414344776334286</v>
      </c>
      <c r="G816" s="306">
        <f t="shared" ca="1" si="359"/>
        <v>9.6152968927705178</v>
      </c>
      <c r="H816" s="307">
        <f t="shared" ca="1" si="360"/>
        <v>-120.01203945982571</v>
      </c>
      <c r="I816" s="304">
        <f t="shared" ca="1" si="361"/>
        <v>120.39660937768508</v>
      </c>
      <c r="J816" s="306">
        <f t="shared" ca="1" si="362"/>
        <v>584.8803621168671</v>
      </c>
      <c r="K816" s="307">
        <f t="shared" ca="1" si="363"/>
        <v>852.65873457153316</v>
      </c>
      <c r="L816" s="304">
        <f t="shared" ca="1" si="348"/>
        <v>1033.9787017299175</v>
      </c>
      <c r="M816" s="306">
        <f t="shared" ca="1" si="364"/>
        <v>-1.4908476659211642</v>
      </c>
      <c r="N816" s="304">
        <f t="shared" ca="1" si="365"/>
        <v>-85.419279154212447</v>
      </c>
      <c r="P816" s="310">
        <f t="shared" ca="1" si="366"/>
        <v>23</v>
      </c>
      <c r="Q816" s="304">
        <f t="shared" ca="1" si="367"/>
        <v>0</v>
      </c>
      <c r="R816" s="306">
        <f t="shared" ca="1" si="368"/>
        <v>0</v>
      </c>
      <c r="S816" s="307">
        <f t="shared" ca="1" si="369"/>
        <v>10.637999999999975</v>
      </c>
      <c r="T816" s="304">
        <f t="shared" ca="1" si="349"/>
        <v>104.35877999999975</v>
      </c>
      <c r="U816" s="311">
        <f t="shared" ca="1" si="350"/>
        <v>0</v>
      </c>
      <c r="V816" s="306">
        <f t="shared" ca="1" si="351"/>
        <v>1.1248202614692537</v>
      </c>
      <c r="W816" s="304">
        <f t="shared" ca="1" si="352"/>
        <v>67.764108474188902</v>
      </c>
      <c r="Y816" s="314" t="str">
        <f t="shared" ca="1" si="370"/>
        <v/>
      </c>
      <c r="Z816" s="315" t="str">
        <f t="shared" ca="1" si="371"/>
        <v/>
      </c>
      <c r="AA816" s="316" t="str">
        <f t="shared" ca="1" si="372"/>
        <v/>
      </c>
      <c r="AC816" s="310" t="e">
        <f t="shared" ca="1" si="373"/>
        <v>#N/A</v>
      </c>
      <c r="AD816" s="323" t="e">
        <f t="shared" ca="1" si="374"/>
        <v>#N/A</v>
      </c>
      <c r="AE816" s="324" t="e">
        <f t="shared" ca="1" si="353"/>
        <v>#N/A</v>
      </c>
      <c r="AG816" s="306">
        <f t="shared" ca="1" si="375"/>
        <v>3.4522244266023243</v>
      </c>
      <c r="AH816" s="304">
        <f t="shared" ca="1" si="376"/>
        <v>-6.3259244438260147</v>
      </c>
    </row>
    <row r="817" spans="1:34" x14ac:dyDescent="0.25">
      <c r="A817" s="347">
        <f t="shared" ca="1" si="354"/>
        <v>0.1</v>
      </c>
      <c r="B817" s="304">
        <f t="shared" ca="1" si="355"/>
        <v>36.300000000000182</v>
      </c>
      <c r="D817" s="306">
        <f t="shared" ca="1" si="356"/>
        <v>-0.50873097953152935</v>
      </c>
      <c r="E817" s="307">
        <f t="shared" ca="1" si="357"/>
        <v>-3.4603424625527266</v>
      </c>
      <c r="F817" s="304">
        <f t="shared" ca="1" si="358"/>
        <v>3.4975387299757781</v>
      </c>
      <c r="G817" s="306">
        <f t="shared" ca="1" si="359"/>
        <v>9.5644237948173654</v>
      </c>
      <c r="H817" s="307">
        <f t="shared" ca="1" si="360"/>
        <v>-120.35807370608099</v>
      </c>
      <c r="I817" s="304">
        <f t="shared" ca="1" si="361"/>
        <v>120.73750083865946</v>
      </c>
      <c r="J817" s="306">
        <f t="shared" ca="1" si="362"/>
        <v>585.83934815124655</v>
      </c>
      <c r="K817" s="307">
        <f t="shared" ca="1" si="363"/>
        <v>840.64022891323782</v>
      </c>
      <c r="L817" s="304">
        <f t="shared" ca="1" si="348"/>
        <v>1024.6383441534765</v>
      </c>
      <c r="M817" s="306">
        <f t="shared" ca="1" si="364"/>
        <v>-1.4914965622212317</v>
      </c>
      <c r="N817" s="304">
        <f t="shared" ca="1" si="365"/>
        <v>-85.456458173547958</v>
      </c>
      <c r="P817" s="310">
        <f t="shared" ca="1" si="366"/>
        <v>23</v>
      </c>
      <c r="Q817" s="304">
        <f t="shared" ca="1" si="367"/>
        <v>0</v>
      </c>
      <c r="R817" s="306">
        <f t="shared" ca="1" si="368"/>
        <v>0</v>
      </c>
      <c r="S817" s="307">
        <f t="shared" ca="1" si="369"/>
        <v>10.637999999999975</v>
      </c>
      <c r="T817" s="304">
        <f t="shared" ca="1" si="349"/>
        <v>104.35877999999975</v>
      </c>
      <c r="U817" s="311">
        <f t="shared" ca="1" si="350"/>
        <v>0</v>
      </c>
      <c r="V817" s="306">
        <f t="shared" ca="1" si="351"/>
        <v>1.1261753699399266</v>
      </c>
      <c r="W817" s="304">
        <f t="shared" ca="1" si="352"/>
        <v>68.230487520249454</v>
      </c>
      <c r="Y817" s="314" t="str">
        <f t="shared" ca="1" si="370"/>
        <v/>
      </c>
      <c r="Z817" s="315" t="str">
        <f t="shared" ca="1" si="371"/>
        <v/>
      </c>
      <c r="AA817" s="316" t="str">
        <f t="shared" ca="1" si="372"/>
        <v/>
      </c>
      <c r="AC817" s="310" t="e">
        <f t="shared" ca="1" si="373"/>
        <v>#N/A</v>
      </c>
      <c r="AD817" s="323" t="e">
        <f t="shared" ca="1" si="374"/>
        <v>#N/A</v>
      </c>
      <c r="AE817" s="324" t="e">
        <f t="shared" ca="1" si="353"/>
        <v>#N/A</v>
      </c>
      <c r="AG817" s="306">
        <f t="shared" ca="1" si="375"/>
        <v>3.4086604172235662</v>
      </c>
      <c r="AH817" s="304">
        <f t="shared" ca="1" si="376"/>
        <v>-6.3700045567013595</v>
      </c>
    </row>
    <row r="818" spans="1:34" x14ac:dyDescent="0.25">
      <c r="A818" s="347">
        <f t="shared" ca="1" si="354"/>
        <v>0.1</v>
      </c>
      <c r="B818" s="304">
        <f t="shared" ca="1" si="355"/>
        <v>36.400000000000183</v>
      </c>
      <c r="D818" s="306">
        <f t="shared" ca="1" si="356"/>
        <v>-0.50808353057942246</v>
      </c>
      <c r="E818" s="307">
        <f t="shared" ca="1" si="357"/>
        <v>-3.4163106012240769</v>
      </c>
      <c r="F818" s="304">
        <f t="shared" ca="1" si="358"/>
        <v>3.4538857824314433</v>
      </c>
      <c r="G818" s="306">
        <f t="shared" ca="1" si="359"/>
        <v>9.5136154417594234</v>
      </c>
      <c r="H818" s="307">
        <f t="shared" ca="1" si="360"/>
        <v>-120.6997047662034</v>
      </c>
      <c r="I818" s="304">
        <f t="shared" ca="1" si="361"/>
        <v>121.07405836686218</v>
      </c>
      <c r="J818" s="306">
        <f t="shared" ca="1" si="362"/>
        <v>586.79325011307537</v>
      </c>
      <c r="K818" s="307">
        <f t="shared" ca="1" si="363"/>
        <v>828.58733998962362</v>
      </c>
      <c r="L818" s="304">
        <f t="shared" ca="1" si="348"/>
        <v>1015.32423312425</v>
      </c>
      <c r="M818" s="306">
        <f t="shared" ca="1" si="364"/>
        <v>-1.4921384137297835</v>
      </c>
      <c r="N818" s="304">
        <f t="shared" ca="1" si="365"/>
        <v>-85.49323355606208</v>
      </c>
      <c r="P818" s="310">
        <f t="shared" ca="1" si="366"/>
        <v>23</v>
      </c>
      <c r="Q818" s="304">
        <f t="shared" ca="1" si="367"/>
        <v>0</v>
      </c>
      <c r="R818" s="306">
        <f t="shared" ca="1" si="368"/>
        <v>0</v>
      </c>
      <c r="S818" s="307">
        <f t="shared" ca="1" si="369"/>
        <v>10.637999999999975</v>
      </c>
      <c r="T818" s="304">
        <f t="shared" ca="1" si="349"/>
        <v>104.35877999999975</v>
      </c>
      <c r="U818" s="311">
        <f t="shared" ca="1" si="350"/>
        <v>0</v>
      </c>
      <c r="V818" s="306">
        <f t="shared" ca="1" si="351"/>
        <v>1.1275359257525344</v>
      </c>
      <c r="W818" s="304">
        <f t="shared" ca="1" si="352"/>
        <v>68.694295487434815</v>
      </c>
      <c r="Y818" s="314" t="str">
        <f t="shared" ca="1" si="370"/>
        <v/>
      </c>
      <c r="Z818" s="315" t="str">
        <f t="shared" ca="1" si="371"/>
        <v/>
      </c>
      <c r="AA818" s="316" t="str">
        <f t="shared" ca="1" si="372"/>
        <v/>
      </c>
      <c r="AC818" s="310" t="e">
        <f t="shared" ca="1" si="373"/>
        <v>#N/A</v>
      </c>
      <c r="AD818" s="323" t="e">
        <f t="shared" ca="1" si="374"/>
        <v>#N/A</v>
      </c>
      <c r="AE818" s="324" t="e">
        <f t="shared" ca="1" si="353"/>
        <v>#N/A</v>
      </c>
      <c r="AG818" s="306">
        <f t="shared" ca="1" si="375"/>
        <v>3.3653258856030837</v>
      </c>
      <c r="AH818" s="304">
        <f t="shared" ca="1" si="376"/>
        <v>-6.4138454145750723</v>
      </c>
    </row>
    <row r="819" spans="1:34" x14ac:dyDescent="0.25">
      <c r="A819" s="347">
        <f t="shared" ca="1" si="354"/>
        <v>0.1</v>
      </c>
      <c r="B819" s="304">
        <f t="shared" ca="1" si="355"/>
        <v>36.500000000000185</v>
      </c>
      <c r="D819" s="306">
        <f t="shared" ca="1" si="356"/>
        <v>-0.50740551146838353</v>
      </c>
      <c r="E819" s="307">
        <f t="shared" ca="1" si="357"/>
        <v>-3.3725214403608375</v>
      </c>
      <c r="F819" s="304">
        <f t="shared" ca="1" si="358"/>
        <v>3.4104781510459832</v>
      </c>
      <c r="G819" s="306">
        <f t="shared" ca="1" si="359"/>
        <v>9.4628748906125857</v>
      </c>
      <c r="H819" s="307">
        <f t="shared" ca="1" si="360"/>
        <v>-121.03695691023948</v>
      </c>
      <c r="I819" s="304">
        <f t="shared" ca="1" si="361"/>
        <v>121.40630518752539</v>
      </c>
      <c r="J819" s="306">
        <f t="shared" ca="1" si="362"/>
        <v>587.742074629694</v>
      </c>
      <c r="K819" s="307">
        <f t="shared" ca="1" si="363"/>
        <v>816.50050690580144</v>
      </c>
      <c r="L819" s="304">
        <f t="shared" ca="1" si="348"/>
        <v>1006.0386792104206</v>
      </c>
      <c r="M819" s="306">
        <f t="shared" ca="1" si="364"/>
        <v>-1.492773338523713</v>
      </c>
      <c r="N819" s="304">
        <f t="shared" ca="1" si="365"/>
        <v>-85.529612067062459</v>
      </c>
      <c r="P819" s="310">
        <f t="shared" ca="1" si="366"/>
        <v>23</v>
      </c>
      <c r="Q819" s="304">
        <f t="shared" ca="1" si="367"/>
        <v>0</v>
      </c>
      <c r="R819" s="306">
        <f t="shared" ca="1" si="368"/>
        <v>0</v>
      </c>
      <c r="S819" s="307">
        <f t="shared" ca="1" si="369"/>
        <v>10.637999999999975</v>
      </c>
      <c r="T819" s="304">
        <f t="shared" ca="1" si="349"/>
        <v>104.35877999999975</v>
      </c>
      <c r="U819" s="311">
        <f t="shared" ca="1" si="350"/>
        <v>0</v>
      </c>
      <c r="V819" s="306">
        <f t="shared" ca="1" si="351"/>
        <v>1.1289018954576164</v>
      </c>
      <c r="W819" s="304">
        <f t="shared" ca="1" si="352"/>
        <v>69.155507391103683</v>
      </c>
      <c r="Y819" s="314" t="str">
        <f t="shared" ca="1" si="370"/>
        <v/>
      </c>
      <c r="Z819" s="315" t="str">
        <f t="shared" ca="1" si="371"/>
        <v/>
      </c>
      <c r="AA819" s="316" t="str">
        <f t="shared" ca="1" si="372"/>
        <v/>
      </c>
      <c r="AC819" s="310" t="e">
        <f t="shared" ca="1" si="373"/>
        <v>#N/A</v>
      </c>
      <c r="AD819" s="323" t="e">
        <f t="shared" ca="1" si="374"/>
        <v>#N/A</v>
      </c>
      <c r="AE819" s="324" t="e">
        <f t="shared" ca="1" si="353"/>
        <v>#N/A</v>
      </c>
      <c r="AG819" s="306">
        <f t="shared" ca="1" si="375"/>
        <v>3.3222234943286226</v>
      </c>
      <c r="AH819" s="304">
        <f t="shared" ca="1" si="376"/>
        <v>-6.4574445842672477</v>
      </c>
    </row>
    <row r="820" spans="1:34" x14ac:dyDescent="0.25">
      <c r="A820" s="347">
        <f t="shared" ca="1" si="354"/>
        <v>0.1</v>
      </c>
      <c r="B820" s="304">
        <f t="shared" ca="1" si="355"/>
        <v>36.600000000000186</v>
      </c>
      <c r="D820" s="306">
        <f t="shared" ca="1" si="356"/>
        <v>-0.5066973607125006</v>
      </c>
      <c r="E820" s="307">
        <f t="shared" ca="1" si="357"/>
        <v>-3.3289773378562817</v>
      </c>
      <c r="F820" s="304">
        <f t="shared" ca="1" si="358"/>
        <v>3.3673182699759332</v>
      </c>
      <c r="G820" s="306">
        <f t="shared" ca="1" si="359"/>
        <v>9.4122051545413363</v>
      </c>
      <c r="H820" s="307">
        <f t="shared" ca="1" si="360"/>
        <v>-121.36985464402511</v>
      </c>
      <c r="I820" s="304">
        <f t="shared" ca="1" si="361"/>
        <v>121.73426478269361</v>
      </c>
      <c r="J820" s="306">
        <f t="shared" ca="1" si="362"/>
        <v>588.68582863195172</v>
      </c>
      <c r="K820" s="307">
        <f t="shared" ca="1" si="363"/>
        <v>804.38016632808819</v>
      </c>
      <c r="L820" s="304">
        <f t="shared" ca="1" si="348"/>
        <v>996.78405726320204</v>
      </c>
      <c r="M820" s="306">
        <f t="shared" ca="1" si="364"/>
        <v>-1.4934014519182324</v>
      </c>
      <c r="N820" s="304">
        <f t="shared" ca="1" si="365"/>
        <v>-85.56560031362406</v>
      </c>
      <c r="P820" s="310">
        <f t="shared" ca="1" si="366"/>
        <v>23</v>
      </c>
      <c r="Q820" s="304">
        <f t="shared" ca="1" si="367"/>
        <v>0</v>
      </c>
      <c r="R820" s="306">
        <f t="shared" ca="1" si="368"/>
        <v>0</v>
      </c>
      <c r="S820" s="307">
        <f t="shared" ca="1" si="369"/>
        <v>10.637999999999975</v>
      </c>
      <c r="T820" s="304">
        <f t="shared" ca="1" si="349"/>
        <v>104.35877999999975</v>
      </c>
      <c r="U820" s="311">
        <f t="shared" ca="1" si="350"/>
        <v>0</v>
      </c>
      <c r="V820" s="306">
        <f t="shared" ca="1" si="351"/>
        <v>1.1302732457420941</v>
      </c>
      <c r="W820" s="304">
        <f t="shared" ca="1" si="352"/>
        <v>69.614099138063182</v>
      </c>
      <c r="Y820" s="314" t="str">
        <f t="shared" ca="1" si="370"/>
        <v/>
      </c>
      <c r="Z820" s="315" t="str">
        <f t="shared" ca="1" si="371"/>
        <v/>
      </c>
      <c r="AA820" s="316" t="str">
        <f t="shared" ca="1" si="372"/>
        <v/>
      </c>
      <c r="AC820" s="310" t="e">
        <f t="shared" ca="1" si="373"/>
        <v>#N/A</v>
      </c>
      <c r="AD820" s="323" t="e">
        <f t="shared" ca="1" si="374"/>
        <v>#N/A</v>
      </c>
      <c r="AE820" s="324" t="e">
        <f t="shared" ca="1" si="353"/>
        <v>#N/A</v>
      </c>
      <c r="AG820" s="306">
        <f t="shared" ca="1" si="375"/>
        <v>3.2793558147617281</v>
      </c>
      <c r="AH820" s="304">
        <f t="shared" ca="1" si="376"/>
        <v>-6.500799717155842</v>
      </c>
    </row>
    <row r="821" spans="1:34" x14ac:dyDescent="0.25">
      <c r="A821" s="347">
        <f t="shared" ca="1" si="354"/>
        <v>0.1</v>
      </c>
      <c r="B821" s="304">
        <f t="shared" ca="1" si="355"/>
        <v>36.700000000000188</v>
      </c>
      <c r="D821" s="306">
        <f t="shared" ca="1" si="356"/>
        <v>-0.50595951665875438</v>
      </c>
      <c r="E821" s="307">
        <f t="shared" ca="1" si="357"/>
        <v>-3.2856805674804992</v>
      </c>
      <c r="F821" s="304">
        <f t="shared" ca="1" si="358"/>
        <v>3.3244084923511634</v>
      </c>
      <c r="G821" s="306">
        <f t="shared" ca="1" si="359"/>
        <v>9.3616092028754601</v>
      </c>
      <c r="H821" s="307">
        <f t="shared" ca="1" si="360"/>
        <v>-121.69842270077316</v>
      </c>
      <c r="I821" s="304">
        <f t="shared" ca="1" si="361"/>
        <v>122.0579608822113</v>
      </c>
      <c r="J821" s="306">
        <f t="shared" ca="1" si="362"/>
        <v>589.62451934982255</v>
      </c>
      <c r="K821" s="307">
        <f t="shared" ca="1" si="363"/>
        <v>792.22675246084827</v>
      </c>
      <c r="L821" s="304">
        <f t="shared" ca="1" si="348"/>
        <v>987.5628087029055</v>
      </c>
      <c r="M821" s="306">
        <f t="shared" ca="1" si="364"/>
        <v>-1.4940228665467876</v>
      </c>
      <c r="N821" s="304">
        <f t="shared" ca="1" si="365"/>
        <v>-85.601204749167962</v>
      </c>
      <c r="P821" s="310">
        <f t="shared" ca="1" si="366"/>
        <v>23</v>
      </c>
      <c r="Q821" s="304">
        <f t="shared" ca="1" si="367"/>
        <v>0</v>
      </c>
      <c r="R821" s="306">
        <f t="shared" ca="1" si="368"/>
        <v>0</v>
      </c>
      <c r="S821" s="307">
        <f t="shared" ca="1" si="369"/>
        <v>10.637999999999975</v>
      </c>
      <c r="T821" s="304">
        <f t="shared" ca="1" si="349"/>
        <v>104.35877999999975</v>
      </c>
      <c r="U821" s="311">
        <f t="shared" ca="1" si="350"/>
        <v>0</v>
      </c>
      <c r="V821" s="306">
        <f t="shared" ca="1" si="351"/>
        <v>1.1316499434314147</v>
      </c>
      <c r="W821" s="304">
        <f t="shared" ca="1" si="352"/>
        <v>70.070047518295596</v>
      </c>
      <c r="Y821" s="314" t="str">
        <f t="shared" ca="1" si="370"/>
        <v/>
      </c>
      <c r="Z821" s="315" t="str">
        <f t="shared" ca="1" si="371"/>
        <v/>
      </c>
      <c r="AA821" s="316" t="str">
        <f t="shared" ca="1" si="372"/>
        <v/>
      </c>
      <c r="AC821" s="310" t="e">
        <f t="shared" ca="1" si="373"/>
        <v>#N/A</v>
      </c>
      <c r="AD821" s="323" t="e">
        <f t="shared" ca="1" si="374"/>
        <v>#N/A</v>
      </c>
      <c r="AE821" s="324" t="e">
        <f t="shared" ca="1" si="353"/>
        <v>#N/A</v>
      </c>
      <c r="AG821" s="306">
        <f t="shared" ca="1" si="375"/>
        <v>3.2367253280289034</v>
      </c>
      <c r="AH821" s="304">
        <f t="shared" ca="1" si="376"/>
        <v>-6.5439085484173098</v>
      </c>
    </row>
    <row r="822" spans="1:34" x14ac:dyDescent="0.25">
      <c r="A822" s="347">
        <f t="shared" ca="1" si="354"/>
        <v>0.1</v>
      </c>
      <c r="B822" s="304">
        <f t="shared" ca="1" si="355"/>
        <v>36.800000000000189</v>
      </c>
      <c r="D822" s="306">
        <f t="shared" ca="1" si="356"/>
        <v>-0.50519241736180887</v>
      </c>
      <c r="E822" s="307">
        <f t="shared" ca="1" si="357"/>
        <v>-3.2426333196606087</v>
      </c>
      <c r="F822" s="304">
        <f t="shared" ca="1" si="358"/>
        <v>3.281751091160487</v>
      </c>
      <c r="G822" s="306">
        <f t="shared" ca="1" si="359"/>
        <v>9.3110899611392792</v>
      </c>
      <c r="H822" s="307">
        <f t="shared" ca="1" si="360"/>
        <v>-122.02268603273923</v>
      </c>
      <c r="I822" s="304">
        <f t="shared" ca="1" si="361"/>
        <v>122.3774174548102</v>
      </c>
      <c r="J822" s="306">
        <f t="shared" ca="1" si="362"/>
        <v>590.55815430802329</v>
      </c>
      <c r="K822" s="307">
        <f t="shared" ca="1" si="363"/>
        <v>780.04069702417269</v>
      </c>
      <c r="L822" s="304">
        <f t="shared" ca="1" si="348"/>
        <v>978.37744384958933</v>
      </c>
      <c r="M822" s="306">
        <f t="shared" ca="1" si="364"/>
        <v>-1.4946376924382394</v>
      </c>
      <c r="N822" s="304">
        <f t="shared" ca="1" si="365"/>
        <v>-85.636431677883522</v>
      </c>
      <c r="P822" s="310">
        <f t="shared" ca="1" si="366"/>
        <v>23</v>
      </c>
      <c r="Q822" s="304">
        <f t="shared" ca="1" si="367"/>
        <v>0</v>
      </c>
      <c r="R822" s="306">
        <f t="shared" ca="1" si="368"/>
        <v>0</v>
      </c>
      <c r="S822" s="307">
        <f t="shared" ca="1" si="369"/>
        <v>10.637999999999975</v>
      </c>
      <c r="T822" s="304">
        <f t="shared" ca="1" si="349"/>
        <v>104.35877999999975</v>
      </c>
      <c r="U822" s="311">
        <f t="shared" ca="1" si="350"/>
        <v>0</v>
      </c>
      <c r="V822" s="306">
        <f t="shared" ca="1" si="351"/>
        <v>1.1330319554916513</v>
      </c>
      <c r="W822" s="304">
        <f t="shared" ca="1" si="352"/>
        <v>70.523330196499444</v>
      </c>
      <c r="Y822" s="314" t="str">
        <f t="shared" ca="1" si="370"/>
        <v/>
      </c>
      <c r="Z822" s="315" t="str">
        <f t="shared" ca="1" si="371"/>
        <v/>
      </c>
      <c r="AA822" s="316" t="str">
        <f t="shared" ca="1" si="372"/>
        <v/>
      </c>
      <c r="AC822" s="310" t="e">
        <f t="shared" ca="1" si="373"/>
        <v>#N/A</v>
      </c>
      <c r="AD822" s="323" t="e">
        <f t="shared" ca="1" si="374"/>
        <v>#N/A</v>
      </c>
      <c r="AE822" s="324" t="e">
        <f t="shared" ca="1" si="353"/>
        <v>#N/A</v>
      </c>
      <c r="AG822" s="306">
        <f t="shared" ca="1" si="375"/>
        <v>3.1943344260218076</v>
      </c>
      <c r="AH822" s="304">
        <f t="shared" ca="1" si="376"/>
        <v>-6.5867688962488966</v>
      </c>
    </row>
    <row r="823" spans="1:34" x14ac:dyDescent="0.25">
      <c r="A823" s="347">
        <f t="shared" ca="1" si="354"/>
        <v>0.1</v>
      </c>
      <c r="B823" s="304">
        <f t="shared" ca="1" si="355"/>
        <v>36.90000000000019</v>
      </c>
      <c r="D823" s="306">
        <f t="shared" ca="1" si="356"/>
        <v>-0.50439650046141749</v>
      </c>
      <c r="E823" s="307">
        <f t="shared" ca="1" si="357"/>
        <v>-3.1998377022785141</v>
      </c>
      <c r="F823" s="304">
        <f t="shared" ca="1" si="358"/>
        <v>3.2393482601598684</v>
      </c>
      <c r="G823" s="306">
        <f t="shared" ca="1" si="359"/>
        <v>9.2606503110931371</v>
      </c>
      <c r="H823" s="307">
        <f t="shared" ca="1" si="360"/>
        <v>-122.34266980296708</v>
      </c>
      <c r="I823" s="304">
        <f t="shared" ca="1" si="361"/>
        <v>122.69265869929701</v>
      </c>
      <c r="J823" s="306">
        <f t="shared" ca="1" si="362"/>
        <v>591.4867413216349</v>
      </c>
      <c r="K823" s="307">
        <f t="shared" ca="1" si="363"/>
        <v>767.82242923238732</v>
      </c>
      <c r="L823" s="304">
        <f t="shared" ca="1" si="348"/>
        <v>969.23054429357057</v>
      </c>
      <c r="M823" s="306">
        <f t="shared" ca="1" si="364"/>
        <v>-1.4952460370914162</v>
      </c>
      <c r="N823" s="304">
        <f t="shared" ca="1" si="365"/>
        <v>-85.671287258999897</v>
      </c>
      <c r="P823" s="310">
        <f t="shared" ca="1" si="366"/>
        <v>23</v>
      </c>
      <c r="Q823" s="304">
        <f t="shared" ca="1" si="367"/>
        <v>0</v>
      </c>
      <c r="R823" s="306">
        <f t="shared" ca="1" si="368"/>
        <v>0</v>
      </c>
      <c r="S823" s="307">
        <f t="shared" ca="1" si="369"/>
        <v>10.637999999999975</v>
      </c>
      <c r="T823" s="304">
        <f t="shared" ca="1" si="349"/>
        <v>104.35877999999975</v>
      </c>
      <c r="U823" s="311">
        <f t="shared" ca="1" si="350"/>
        <v>0</v>
      </c>
      <c r="V823" s="306">
        <f t="shared" ca="1" si="351"/>
        <v>1.1344192490315472</v>
      </c>
      <c r="W823" s="304">
        <f t="shared" ca="1" si="352"/>
        <v>70.973925703452608</v>
      </c>
      <c r="Y823" s="314" t="str">
        <f t="shared" ca="1" si="370"/>
        <v/>
      </c>
      <c r="Z823" s="315" t="str">
        <f t="shared" ca="1" si="371"/>
        <v/>
      </c>
      <c r="AA823" s="316" t="str">
        <f t="shared" ca="1" si="372"/>
        <v/>
      </c>
      <c r="AC823" s="310" t="e">
        <f t="shared" ca="1" si="373"/>
        <v>#N/A</v>
      </c>
      <c r="AD823" s="323" t="e">
        <f t="shared" ca="1" si="374"/>
        <v>#N/A</v>
      </c>
      <c r="AE823" s="324" t="e">
        <f t="shared" ca="1" si="353"/>
        <v>#N/A</v>
      </c>
      <c r="AG823" s="306">
        <f t="shared" ca="1" si="375"/>
        <v>3.1521854124060047</v>
      </c>
      <c r="AH823" s="304">
        <f t="shared" ca="1" si="376"/>
        <v>-6.6293786610734733</v>
      </c>
    </row>
    <row r="824" spans="1:34" x14ac:dyDescent="0.25">
      <c r="A824" s="347">
        <f t="shared" ca="1" si="354"/>
        <v>0.1</v>
      </c>
      <c r="B824" s="304">
        <f t="shared" ca="1" si="355"/>
        <v>37.000000000000192</v>
      </c>
      <c r="D824" s="306">
        <f t="shared" ca="1" si="356"/>
        <v>-0.50357220306245887</v>
      </c>
      <c r="E824" s="307">
        <f t="shared" ca="1" si="357"/>
        <v>-3.1572957414854823</v>
      </c>
      <c r="F824" s="304">
        <f t="shared" ca="1" si="358"/>
        <v>3.1972021148028067</v>
      </c>
      <c r="G824" s="306">
        <f t="shared" ca="1" si="359"/>
        <v>9.210293090786891</v>
      </c>
      <c r="H824" s="307">
        <f t="shared" ca="1" si="360"/>
        <v>-122.65839937711563</v>
      </c>
      <c r="I824" s="304">
        <f t="shared" ca="1" si="361"/>
        <v>123.00370903584248</v>
      </c>
      <c r="J824" s="306">
        <f t="shared" ca="1" si="362"/>
        <v>592.41028849172892</v>
      </c>
      <c r="K824" s="307">
        <f t="shared" ca="1" si="363"/>
        <v>755.57237577338321</v>
      </c>
      <c r="L824" s="304">
        <f t="shared" ca="1" si="348"/>
        <v>960.12476530016033</v>
      </c>
      <c r="M824" s="306">
        <f t="shared" ca="1" si="364"/>
        <v>-1.495848005547141</v>
      </c>
      <c r="N824" s="304">
        <f t="shared" ca="1" si="365"/>
        <v>-85.705777510912938</v>
      </c>
      <c r="P824" s="310">
        <f t="shared" ca="1" si="366"/>
        <v>23</v>
      </c>
      <c r="Q824" s="304">
        <f t="shared" ca="1" si="367"/>
        <v>0</v>
      </c>
      <c r="R824" s="306">
        <f t="shared" ca="1" si="368"/>
        <v>0</v>
      </c>
      <c r="S824" s="307">
        <f t="shared" ca="1" si="369"/>
        <v>10.637999999999975</v>
      </c>
      <c r="T824" s="304">
        <f t="shared" ca="1" si="349"/>
        <v>104.35877999999975</v>
      </c>
      <c r="U824" s="311">
        <f t="shared" ca="1" si="350"/>
        <v>0</v>
      </c>
      <c r="V824" s="306">
        <f t="shared" ca="1" si="351"/>
        <v>1.1358117913045118</v>
      </c>
      <c r="W824" s="304">
        <f t="shared" ca="1" si="352"/>
        <v>71.421813427205933</v>
      </c>
      <c r="Y824" s="314" t="str">
        <f t="shared" ca="1" si="370"/>
        <v/>
      </c>
      <c r="Z824" s="315" t="str">
        <f t="shared" ca="1" si="371"/>
        <v/>
      </c>
      <c r="AA824" s="316" t="str">
        <f t="shared" ca="1" si="372"/>
        <v/>
      </c>
      <c r="AC824" s="310">
        <f t="shared" ca="1" si="373"/>
        <v>37.000000000000192</v>
      </c>
      <c r="AD824" s="323">
        <f t="shared" ca="1" si="374"/>
        <v>592.41028849172892</v>
      </c>
      <c r="AE824" s="324" t="e">
        <f t="shared" ca="1" si="353"/>
        <v>#N/A</v>
      </c>
      <c r="AG824" s="306">
        <f t="shared" ca="1" si="375"/>
        <v>3.1102805036379149</v>
      </c>
      <c r="AH824" s="304">
        <f t="shared" ca="1" si="376"/>
        <v>-6.6717358247276533</v>
      </c>
    </row>
    <row r="825" spans="1:34" x14ac:dyDescent="0.25">
      <c r="A825" s="347">
        <f t="shared" ca="1" si="354"/>
        <v>0.1</v>
      </c>
      <c r="B825" s="304">
        <f t="shared" ca="1" si="355"/>
        <v>37.100000000000193</v>
      </c>
      <c r="D825" s="306">
        <f t="shared" ca="1" si="356"/>
        <v>-0.50271996161761578</v>
      </c>
      <c r="E825" s="307">
        <f t="shared" ca="1" si="357"/>
        <v>-3.1150093825327465</v>
      </c>
      <c r="F825" s="304">
        <f t="shared" ca="1" si="358"/>
        <v>3.1553146931924019</v>
      </c>
      <c r="G825" s="306">
        <f t="shared" ca="1" si="359"/>
        <v>9.1600210946251295</v>
      </c>
      <c r="H825" s="307">
        <f t="shared" ca="1" si="360"/>
        <v>-122.9699003153689</v>
      </c>
      <c r="I825" s="304">
        <f t="shared" ca="1" si="361"/>
        <v>123.31059309737239</v>
      </c>
      <c r="J825" s="306">
        <f t="shared" ca="1" si="362"/>
        <v>593.32880420099957</v>
      </c>
      <c r="K825" s="307">
        <f t="shared" ca="1" si="363"/>
        <v>743.29096078875898</v>
      </c>
      <c r="L825" s="304">
        <f t="shared" ca="1" si="348"/>
        <v>951.06283824196635</v>
      </c>
      <c r="M825" s="306">
        <f t="shared" ca="1" si="364"/>
        <v>-1.4964437004578359</v>
      </c>
      <c r="N825" s="304">
        <f t="shared" ca="1" si="365"/>
        <v>-85.739908315173182</v>
      </c>
      <c r="P825" s="310">
        <f t="shared" ca="1" si="366"/>
        <v>23</v>
      </c>
      <c r="Q825" s="304">
        <f t="shared" ca="1" si="367"/>
        <v>0</v>
      </c>
      <c r="R825" s="306">
        <f t="shared" ca="1" si="368"/>
        <v>0</v>
      </c>
      <c r="S825" s="307">
        <f t="shared" ca="1" si="369"/>
        <v>10.637999999999975</v>
      </c>
      <c r="T825" s="304">
        <f t="shared" ca="1" si="349"/>
        <v>104.35877999999975</v>
      </c>
      <c r="U825" s="311">
        <f t="shared" ca="1" si="350"/>
        <v>0</v>
      </c>
      <c r="V825" s="306">
        <f t="shared" ca="1" si="351"/>
        <v>1.1372095497105625</v>
      </c>
      <c r="W825" s="304">
        <f t="shared" ca="1" si="352"/>
        <v>71.866973604115188</v>
      </c>
      <c r="Y825" s="314" t="str">
        <f t="shared" ca="1" si="370"/>
        <v/>
      </c>
      <c r="Z825" s="315" t="str">
        <f t="shared" ca="1" si="371"/>
        <v/>
      </c>
      <c r="AA825" s="316" t="str">
        <f t="shared" ca="1" si="372"/>
        <v/>
      </c>
      <c r="AC825" s="310" t="e">
        <f t="shared" ca="1" si="373"/>
        <v>#N/A</v>
      </c>
      <c r="AD825" s="323" t="e">
        <f t="shared" ca="1" si="374"/>
        <v>#N/A</v>
      </c>
      <c r="AE825" s="324" t="e">
        <f t="shared" ca="1" si="353"/>
        <v>#N/A</v>
      </c>
      <c r="AG825" s="306">
        <f t="shared" ca="1" si="375"/>
        <v>3.0686218299896115</v>
      </c>
      <c r="AH825" s="304">
        <f t="shared" ca="1" si="376"/>
        <v>-6.7138384496339629</v>
      </c>
    </row>
    <row r="826" spans="1:34" x14ac:dyDescent="0.25">
      <c r="A826" s="347">
        <f t="shared" ca="1" si="354"/>
        <v>0.1</v>
      </c>
      <c r="B826" s="304">
        <f t="shared" ca="1" si="355"/>
        <v>37.200000000000195</v>
      </c>
      <c r="D826" s="306">
        <f t="shared" ca="1" si="356"/>
        <v>-0.50184021181265515</v>
      </c>
      <c r="E826" s="307">
        <f t="shared" ca="1" si="357"/>
        <v>-3.0729804906173861</v>
      </c>
      <c r="F826" s="304">
        <f t="shared" ca="1" si="358"/>
        <v>3.1136879570546632</v>
      </c>
      <c r="G826" s="306">
        <f t="shared" ca="1" si="359"/>
        <v>9.1098370734438632</v>
      </c>
      <c r="H826" s="307">
        <f t="shared" ca="1" si="360"/>
        <v>-123.27719836443065</v>
      </c>
      <c r="I826" s="304">
        <f t="shared" ca="1" si="361"/>
        <v>123.61333572106156</v>
      </c>
      <c r="J826" s="306">
        <f t="shared" ca="1" si="362"/>
        <v>594.24229710940301</v>
      </c>
      <c r="K826" s="307">
        <f t="shared" ca="1" si="363"/>
        <v>730.97860585476906</v>
      </c>
      <c r="L826" s="304">
        <f t="shared" ca="1" si="348"/>
        <v>942.04757305098019</v>
      </c>
      <c r="M826" s="306">
        <f t="shared" ca="1" si="364"/>
        <v>-1.4970332221547931</v>
      </c>
      <c r="N826" s="304">
        <f t="shared" ca="1" si="365"/>
        <v>-85.773685420340215</v>
      </c>
      <c r="P826" s="310">
        <f t="shared" ca="1" si="366"/>
        <v>23</v>
      </c>
      <c r="Q826" s="304">
        <f t="shared" ca="1" si="367"/>
        <v>0</v>
      </c>
      <c r="R826" s="306">
        <f t="shared" ca="1" si="368"/>
        <v>0</v>
      </c>
      <c r="S826" s="307">
        <f t="shared" ca="1" si="369"/>
        <v>10.637999999999975</v>
      </c>
      <c r="T826" s="304">
        <f t="shared" ca="1" si="349"/>
        <v>104.35877999999975</v>
      </c>
      <c r="U826" s="311">
        <f t="shared" ca="1" si="350"/>
        <v>0</v>
      </c>
      <c r="V826" s="306">
        <f t="shared" ca="1" si="351"/>
        <v>1.138612491798221</v>
      </c>
      <c r="W826" s="304">
        <f t="shared" ca="1" si="352"/>
        <v>72.309387309720108</v>
      </c>
      <c r="Y826" s="314" t="str">
        <f t="shared" ca="1" si="370"/>
        <v/>
      </c>
      <c r="Z826" s="315" t="str">
        <f t="shared" ca="1" si="371"/>
        <v/>
      </c>
      <c r="AA826" s="316" t="str">
        <f t="shared" ca="1" si="372"/>
        <v/>
      </c>
      <c r="AC826" s="310" t="e">
        <f t="shared" ca="1" si="373"/>
        <v>#N/A</v>
      </c>
      <c r="AD826" s="323" t="e">
        <f t="shared" ca="1" si="374"/>
        <v>#N/A</v>
      </c>
      <c r="AE826" s="324" t="e">
        <f t="shared" ca="1" si="353"/>
        <v>#N/A</v>
      </c>
      <c r="AG826" s="306">
        <f t="shared" ca="1" si="375"/>
        <v>3.0272114365810507</v>
      </c>
      <c r="AH826" s="304">
        <f t="shared" ca="1" si="376"/>
        <v>-6.7556846779578263</v>
      </c>
    </row>
    <row r="827" spans="1:34" x14ac:dyDescent="0.25">
      <c r="A827" s="347">
        <f t="shared" ca="1" si="354"/>
        <v>0.1</v>
      </c>
      <c r="B827" s="304">
        <f t="shared" ca="1" si="355"/>
        <v>37.300000000000196</v>
      </c>
      <c r="D827" s="306">
        <f t="shared" ca="1" si="356"/>
        <v>-0.50093338845435309</v>
      </c>
      <c r="E827" s="307">
        <f t="shared" ca="1" si="357"/>
        <v>-3.0312108517426601</v>
      </c>
      <c r="F827" s="304">
        <f t="shared" ca="1" si="358"/>
        <v>3.072323792732599</v>
      </c>
      <c r="G827" s="306">
        <f t="shared" ca="1" si="359"/>
        <v>9.0597437345984275</v>
      </c>
      <c r="H827" s="307">
        <f t="shared" ca="1" si="360"/>
        <v>-123.58031944960491</v>
      </c>
      <c r="I827" s="304">
        <f t="shared" ca="1" si="361"/>
        <v>123.91196193993135</v>
      </c>
      <c r="J827" s="306">
        <f t="shared" ca="1" si="362"/>
        <v>595.1507761498051</v>
      </c>
      <c r="K827" s="307">
        <f t="shared" ca="1" si="363"/>
        <v>718.63572996406731</v>
      </c>
      <c r="L827" s="304">
        <f t="shared" ca="1" si="348"/>
        <v>933.08186068142129</v>
      </c>
      <c r="M827" s="306">
        <f t="shared" ca="1" si="364"/>
        <v>-1.4976166687132069</v>
      </c>
      <c r="N827" s="304">
        <f t="shared" ca="1" si="365"/>
        <v>-85.807114445708748</v>
      </c>
      <c r="P827" s="310">
        <f t="shared" ca="1" si="366"/>
        <v>23</v>
      </c>
      <c r="Q827" s="304">
        <f t="shared" ca="1" si="367"/>
        <v>0</v>
      </c>
      <c r="R827" s="306">
        <f t="shared" ca="1" si="368"/>
        <v>0</v>
      </c>
      <c r="S827" s="307">
        <f t="shared" ca="1" si="369"/>
        <v>10.637999999999975</v>
      </c>
      <c r="T827" s="304">
        <f t="shared" ca="1" si="349"/>
        <v>104.35877999999975</v>
      </c>
      <c r="U827" s="311">
        <f t="shared" ca="1" si="350"/>
        <v>0</v>
      </c>
      <c r="V827" s="306">
        <f t="shared" ca="1" si="351"/>
        <v>1.1400205852663536</v>
      </c>
      <c r="W827" s="304">
        <f t="shared" ca="1" si="352"/>
        <v>72.749036449477629</v>
      </c>
      <c r="Y827" s="314" t="str">
        <f t="shared" ca="1" si="370"/>
        <v/>
      </c>
      <c r="Z827" s="315" t="str">
        <f t="shared" ca="1" si="371"/>
        <v/>
      </c>
      <c r="AA827" s="316" t="str">
        <f t="shared" ca="1" si="372"/>
        <v/>
      </c>
      <c r="AC827" s="310" t="e">
        <f t="shared" ca="1" si="373"/>
        <v>#N/A</v>
      </c>
      <c r="AD827" s="323" t="e">
        <f t="shared" ca="1" si="374"/>
        <v>#N/A</v>
      </c>
      <c r="AE827" s="324" t="e">
        <f t="shared" ca="1" si="353"/>
        <v>#N/A</v>
      </c>
      <c r="AG827" s="306">
        <f t="shared" ca="1" si="375"/>
        <v>2.9860512844192773</v>
      </c>
      <c r="AH827" s="304">
        <f t="shared" ca="1" si="376"/>
        <v>-6.7972727307501675</v>
      </c>
    </row>
    <row r="828" spans="1:34" x14ac:dyDescent="0.25">
      <c r="A828" s="347">
        <f t="shared" ca="1" si="354"/>
        <v>0.1</v>
      </c>
      <c r="B828" s="304">
        <f t="shared" ca="1" si="355"/>
        <v>37.400000000000198</v>
      </c>
      <c r="D828" s="306">
        <f t="shared" ca="1" si="356"/>
        <v>-0.49999992536102356</v>
      </c>
      <c r="E828" s="307">
        <f t="shared" ca="1" si="357"/>
        <v>-2.9897021735921303</v>
      </c>
      <c r="F828" s="304">
        <f t="shared" ca="1" si="358"/>
        <v>3.0312240122007705</v>
      </c>
      <c r="G828" s="306">
        <f t="shared" ca="1" si="359"/>
        <v>9.0097437420623248</v>
      </c>
      <c r="H828" s="307">
        <f t="shared" ca="1" si="360"/>
        <v>-123.87928966696413</v>
      </c>
      <c r="I828" s="304">
        <f t="shared" ca="1" si="361"/>
        <v>124.20649697455136</v>
      </c>
      <c r="J828" s="306">
        <f t="shared" ca="1" si="362"/>
        <v>596.05425052363819</v>
      </c>
      <c r="K828" s="307">
        <f t="shared" ca="1" si="363"/>
        <v>706.26274950823881</v>
      </c>
      <c r="L828" s="304">
        <f t="shared" ca="1" si="348"/>
        <v>924.16867557293529</v>
      </c>
      <c r="M828" s="306">
        <f t="shared" ca="1" si="364"/>
        <v>-1.4981941360150508</v>
      </c>
      <c r="N828" s="304">
        <f t="shared" ca="1" si="365"/>
        <v>-85.840200884911212</v>
      </c>
      <c r="P828" s="310">
        <f t="shared" ca="1" si="366"/>
        <v>23</v>
      </c>
      <c r="Q828" s="304">
        <f t="shared" ca="1" si="367"/>
        <v>0</v>
      </c>
      <c r="R828" s="306">
        <f t="shared" ca="1" si="368"/>
        <v>0</v>
      </c>
      <c r="S828" s="307">
        <f t="shared" ca="1" si="369"/>
        <v>10.637999999999975</v>
      </c>
      <c r="T828" s="304">
        <f t="shared" ca="1" si="349"/>
        <v>104.35877999999975</v>
      </c>
      <c r="U828" s="311">
        <f t="shared" ca="1" si="350"/>
        <v>0</v>
      </c>
      <c r="V828" s="306">
        <f t="shared" ca="1" si="351"/>
        <v>1.1414337979659668</v>
      </c>
      <c r="W828" s="304">
        <f t="shared" ca="1" si="352"/>
        <v>73.18590374935782</v>
      </c>
      <c r="Y828" s="314" t="str">
        <f t="shared" ca="1" si="370"/>
        <v/>
      </c>
      <c r="Z828" s="315" t="str">
        <f t="shared" ca="1" si="371"/>
        <v/>
      </c>
      <c r="AA828" s="316" t="str">
        <f t="shared" ca="1" si="372"/>
        <v/>
      </c>
      <c r="AC828" s="310" t="e">
        <f t="shared" ca="1" si="373"/>
        <v>#N/A</v>
      </c>
      <c r="AD828" s="323" t="e">
        <f t="shared" ca="1" si="374"/>
        <v>#N/A</v>
      </c>
      <c r="AE828" s="324" t="e">
        <f t="shared" ca="1" si="353"/>
        <v>#N/A</v>
      </c>
      <c r="AG828" s="306">
        <f t="shared" ca="1" si="375"/>
        <v>2.9451432514442404</v>
      </c>
      <c r="AH828" s="304">
        <f t="shared" ca="1" si="376"/>
        <v>-6.8386009070763114</v>
      </c>
    </row>
    <row r="829" spans="1:34" x14ac:dyDescent="0.25">
      <c r="A829" s="347">
        <f t="shared" ca="1" si="354"/>
        <v>0.1</v>
      </c>
      <c r="B829" s="304">
        <f t="shared" ca="1" si="355"/>
        <v>37.500000000000199</v>
      </c>
      <c r="D829" s="306">
        <f t="shared" ca="1" si="356"/>
        <v>-0.49904025525566659</v>
      </c>
      <c r="E829" s="307">
        <f t="shared" ca="1" si="357"/>
        <v>-2.9484560864167495</v>
      </c>
      <c r="F829" s="304">
        <f t="shared" ca="1" si="358"/>
        <v>2.9903903540998815</v>
      </c>
      <c r="G829" s="306">
        <f t="shared" ca="1" si="359"/>
        <v>8.9598397165367576</v>
      </c>
      <c r="H829" s="307">
        <f t="shared" ca="1" si="360"/>
        <v>-124.17413527560581</v>
      </c>
      <c r="I829" s="304">
        <f t="shared" ca="1" si="361"/>
        <v>124.49696622484613</v>
      </c>
      <c r="J829" s="306">
        <f t="shared" ca="1" si="362"/>
        <v>596.9527296965681</v>
      </c>
      <c r="K829" s="307">
        <f t="shared" ca="1" si="363"/>
        <v>693.86007826111029</v>
      </c>
      <c r="L829" s="304">
        <f t="shared" ca="1" si="348"/>
        <v>915.31107810224717</v>
      </c>
      <c r="M829" s="306">
        <f t="shared" ca="1" si="364"/>
        <v>-1.4987657178098832</v>
      </c>
      <c r="N829" s="304">
        <f t="shared" ca="1" si="365"/>
        <v>-85.872950109401629</v>
      </c>
      <c r="P829" s="310">
        <f t="shared" ca="1" si="366"/>
        <v>23</v>
      </c>
      <c r="Q829" s="304">
        <f t="shared" ca="1" si="367"/>
        <v>0</v>
      </c>
      <c r="R829" s="306">
        <f t="shared" ca="1" si="368"/>
        <v>0</v>
      </c>
      <c r="S829" s="307">
        <f t="shared" ca="1" si="369"/>
        <v>10.637999999999975</v>
      </c>
      <c r="T829" s="304">
        <f t="shared" ca="1" si="349"/>
        <v>104.35877999999975</v>
      </c>
      <c r="U829" s="311">
        <f t="shared" ca="1" si="350"/>
        <v>0</v>
      </c>
      <c r="V829" s="306">
        <f t="shared" ca="1" si="351"/>
        <v>1.142852097901951</v>
      </c>
      <c r="W829" s="304">
        <f t="shared" ca="1" si="352"/>
        <v>73.619972746310211</v>
      </c>
      <c r="Y829" s="314" t="str">
        <f t="shared" ca="1" si="370"/>
        <v/>
      </c>
      <c r="Z829" s="315" t="str">
        <f t="shared" ca="1" si="371"/>
        <v/>
      </c>
      <c r="AA829" s="316" t="str">
        <f t="shared" ca="1" si="372"/>
        <v/>
      </c>
      <c r="AC829" s="310" t="e">
        <f t="shared" ca="1" si="373"/>
        <v>#N/A</v>
      </c>
      <c r="AD829" s="323" t="e">
        <f t="shared" ca="1" si="374"/>
        <v>#N/A</v>
      </c>
      <c r="AE829" s="324" t="e">
        <f t="shared" ca="1" si="353"/>
        <v>#N/A</v>
      </c>
      <c r="AG829" s="306">
        <f t="shared" ca="1" si="375"/>
        <v>2.9044891335807668</v>
      </c>
      <c r="AH829" s="304">
        <f t="shared" ca="1" si="376"/>
        <v>-6.8796675831319787</v>
      </c>
    </row>
    <row r="830" spans="1:34" x14ac:dyDescent="0.25">
      <c r="A830" s="347">
        <f t="shared" ca="1" si="354"/>
        <v>0.1</v>
      </c>
      <c r="B830" s="304">
        <f t="shared" ca="1" si="355"/>
        <v>37.6000000000002</v>
      </c>
      <c r="D830" s="306">
        <f t="shared" ca="1" si="356"/>
        <v>-0.49805480966171745</v>
      </c>
      <c r="E830" s="307">
        <f t="shared" ca="1" si="357"/>
        <v>-2.9074741439342127</v>
      </c>
      <c r="F830" s="304">
        <f t="shared" ca="1" si="358"/>
        <v>2.9498244847911126</v>
      </c>
      <c r="G830" s="306">
        <f t="shared" ca="1" si="359"/>
        <v>8.9100342355705866</v>
      </c>
      <c r="H830" s="307">
        <f t="shared" ca="1" si="360"/>
        <v>-124.46488268999923</v>
      </c>
      <c r="I830" s="304">
        <f t="shared" ca="1" si="361"/>
        <v>124.78339526200716</v>
      </c>
      <c r="J830" s="306">
        <f t="shared" ca="1" si="362"/>
        <v>597.84622339417342</v>
      </c>
      <c r="K830" s="307">
        <f t="shared" ca="1" si="363"/>
        <v>681.42812736283008</v>
      </c>
      <c r="L830" s="304">
        <f t="shared" ca="1" si="348"/>
        <v>906.51221700972644</v>
      </c>
      <c r="M830" s="306">
        <f t="shared" ca="1" si="364"/>
        <v>-1.4993315057736609</v>
      </c>
      <c r="N830" s="304">
        <f t="shared" ca="1" si="365"/>
        <v>-85.905367371825392</v>
      </c>
      <c r="P830" s="310">
        <f t="shared" ca="1" si="366"/>
        <v>23</v>
      </c>
      <c r="Q830" s="304">
        <f t="shared" ca="1" si="367"/>
        <v>0</v>
      </c>
      <c r="R830" s="306">
        <f t="shared" ca="1" si="368"/>
        <v>0</v>
      </c>
      <c r="S830" s="307">
        <f t="shared" ca="1" si="369"/>
        <v>10.637999999999975</v>
      </c>
      <c r="T830" s="304">
        <f t="shared" ca="1" si="349"/>
        <v>104.35877999999975</v>
      </c>
      <c r="U830" s="311">
        <f t="shared" ca="1" si="350"/>
        <v>0</v>
      </c>
      <c r="V830" s="306">
        <f t="shared" ca="1" si="351"/>
        <v>1.1442754532347754</v>
      </c>
      <c r="W830" s="304">
        <f t="shared" ca="1" si="352"/>
        <v>74.051227778607739</v>
      </c>
      <c r="Y830" s="314" t="str">
        <f t="shared" ca="1" si="370"/>
        <v/>
      </c>
      <c r="Z830" s="315" t="str">
        <f t="shared" ca="1" si="371"/>
        <v/>
      </c>
      <c r="AA830" s="316" t="str">
        <f t="shared" ca="1" si="372"/>
        <v/>
      </c>
      <c r="AC830" s="310" t="e">
        <f t="shared" ca="1" si="373"/>
        <v>#N/A</v>
      </c>
      <c r="AD830" s="323" t="e">
        <f t="shared" ca="1" si="374"/>
        <v>#N/A</v>
      </c>
      <c r="AE830" s="324" t="e">
        <f t="shared" ca="1" si="353"/>
        <v>#N/A</v>
      </c>
      <c r="AG830" s="306">
        <f t="shared" ca="1" si="375"/>
        <v>2.8640906457962512</v>
      </c>
      <c r="AH830" s="304">
        <f t="shared" ca="1" si="376"/>
        <v>-6.9204712113470936</v>
      </c>
    </row>
    <row r="831" spans="1:34" x14ac:dyDescent="0.25">
      <c r="A831" s="347">
        <f t="shared" ca="1" si="354"/>
        <v>0.1</v>
      </c>
      <c r="B831" s="304">
        <f t="shared" ca="1" si="355"/>
        <v>37.700000000000202</v>
      </c>
      <c r="D831" s="306">
        <f t="shared" ca="1" si="356"/>
        <v>-0.49704401880138593</v>
      </c>
      <c r="E831" s="307">
        <f t="shared" ca="1" si="357"/>
        <v>-2.8667578242398744</v>
      </c>
      <c r="F831" s="304">
        <f t="shared" ca="1" si="358"/>
        <v>2.9095279994299368</v>
      </c>
      <c r="G831" s="306">
        <f t="shared" ca="1" si="359"/>
        <v>8.8603298336904484</v>
      </c>
      <c r="H831" s="307">
        <f t="shared" ca="1" si="360"/>
        <v>-124.75155847242321</v>
      </c>
      <c r="I831" s="304">
        <f t="shared" ca="1" si="361"/>
        <v>125.06580982051095</v>
      </c>
      <c r="J831" s="306">
        <f t="shared" ca="1" si="362"/>
        <v>598.73474159763646</v>
      </c>
      <c r="K831" s="307">
        <f t="shared" ca="1" si="363"/>
        <v>668.96730530470893</v>
      </c>
      <c r="L831" s="304">
        <f t="shared" ca="1" si="348"/>
        <v>897.77533178553767</v>
      </c>
      <c r="M831" s="306">
        <f t="shared" ca="1" si="364"/>
        <v>-1.4998915895656331</v>
      </c>
      <c r="N831" s="304">
        <f t="shared" ca="1" si="365"/>
        <v>-85.937457809279081</v>
      </c>
      <c r="P831" s="310">
        <f t="shared" ca="1" si="366"/>
        <v>23</v>
      </c>
      <c r="Q831" s="304">
        <f t="shared" ca="1" si="367"/>
        <v>0</v>
      </c>
      <c r="R831" s="306">
        <f t="shared" ca="1" si="368"/>
        <v>0</v>
      </c>
      <c r="S831" s="307">
        <f t="shared" ca="1" si="369"/>
        <v>10.637999999999975</v>
      </c>
      <c r="T831" s="304">
        <f t="shared" ca="1" si="349"/>
        <v>104.35877999999975</v>
      </c>
      <c r="U831" s="311">
        <f t="shared" ca="1" si="350"/>
        <v>0</v>
      </c>
      <c r="V831" s="306">
        <f t="shared" ca="1" si="351"/>
        <v>1.1457038322821338</v>
      </c>
      <c r="W831" s="304">
        <f t="shared" ca="1" si="352"/>
        <v>74.479653976076278</v>
      </c>
      <c r="Y831" s="314" t="str">
        <f t="shared" ca="1" si="370"/>
        <v/>
      </c>
      <c r="Z831" s="315" t="str">
        <f t="shared" ca="1" si="371"/>
        <v/>
      </c>
      <c r="AA831" s="316" t="str">
        <f t="shared" ca="1" si="372"/>
        <v/>
      </c>
      <c r="AC831" s="310" t="e">
        <f t="shared" ca="1" si="373"/>
        <v>#N/A</v>
      </c>
      <c r="AD831" s="323" t="e">
        <f t="shared" ca="1" si="374"/>
        <v>#N/A</v>
      </c>
      <c r="AE831" s="324" t="e">
        <f t="shared" ca="1" si="353"/>
        <v>#N/A</v>
      </c>
      <c r="AG831" s="306">
        <f t="shared" ca="1" si="375"/>
        <v>2.8239494231636533</v>
      </c>
      <c r="AH831" s="304">
        <f t="shared" ca="1" si="376"/>
        <v>-6.9610103194780892</v>
      </c>
    </row>
    <row r="832" spans="1:34" x14ac:dyDescent="0.25">
      <c r="A832" s="347">
        <f t="shared" ca="1" si="354"/>
        <v>0.1</v>
      </c>
      <c r="B832" s="304">
        <f t="shared" ca="1" si="355"/>
        <v>37.800000000000203</v>
      </c>
      <c r="D832" s="306">
        <f t="shared" ca="1" si="356"/>
        <v>-0.49600831149660007</v>
      </c>
      <c r="E832" s="307">
        <f t="shared" ca="1" si="357"/>
        <v>-2.826308530728479</v>
      </c>
      <c r="F832" s="304">
        <f t="shared" ca="1" si="358"/>
        <v>2.8695024230591413</v>
      </c>
      <c r="G832" s="306">
        <f t="shared" ca="1" si="359"/>
        <v>8.8107290025407892</v>
      </c>
      <c r="H832" s="307">
        <f t="shared" ca="1" si="360"/>
        <v>-125.03418932549606</v>
      </c>
      <c r="I832" s="304">
        <f t="shared" ca="1" si="361"/>
        <v>125.34423579024369</v>
      </c>
      <c r="J832" s="306">
        <f t="shared" ca="1" si="362"/>
        <v>599.61829453944802</v>
      </c>
      <c r="K832" s="307">
        <f t="shared" ca="1" si="363"/>
        <v>656.47801791481299</v>
      </c>
      <c r="L832" s="304">
        <f t="shared" ca="1" si="348"/>
        <v>889.10375499812051</v>
      </c>
      <c r="M832" s="306">
        <f t="shared" ca="1" si="364"/>
        <v>-1.5004460568833944</v>
      </c>
      <c r="N832" s="304">
        <f t="shared" ca="1" si="365"/>
        <v>-85.969226446464745</v>
      </c>
      <c r="P832" s="310">
        <f t="shared" ca="1" si="366"/>
        <v>23</v>
      </c>
      <c r="Q832" s="304">
        <f t="shared" ca="1" si="367"/>
        <v>0</v>
      </c>
      <c r="R832" s="306">
        <f t="shared" ca="1" si="368"/>
        <v>0</v>
      </c>
      <c r="S832" s="307">
        <f t="shared" ca="1" si="369"/>
        <v>10.637999999999975</v>
      </c>
      <c r="T832" s="304">
        <f t="shared" ca="1" si="349"/>
        <v>104.35877999999975</v>
      </c>
      <c r="U832" s="311">
        <f t="shared" ca="1" si="350"/>
        <v>0</v>
      </c>
      <c r="V832" s="306">
        <f t="shared" ca="1" si="351"/>
        <v>1.1471372035205423</v>
      </c>
      <c r="W832" s="304">
        <f t="shared" ca="1" si="352"/>
        <v>74.905237250217141</v>
      </c>
      <c r="Y832" s="314" t="str">
        <f t="shared" ca="1" si="370"/>
        <v/>
      </c>
      <c r="Z832" s="315" t="str">
        <f t="shared" ca="1" si="371"/>
        <v/>
      </c>
      <c r="AA832" s="316" t="str">
        <f t="shared" ca="1" si="372"/>
        <v/>
      </c>
      <c r="AC832" s="310" t="e">
        <f t="shared" ca="1" si="373"/>
        <v>#N/A</v>
      </c>
      <c r="AD832" s="323" t="e">
        <f t="shared" ca="1" si="374"/>
        <v>#N/A</v>
      </c>
      <c r="AE832" s="324" t="e">
        <f t="shared" ca="1" si="353"/>
        <v>#N/A</v>
      </c>
      <c r="AG832" s="306">
        <f t="shared" ca="1" si="375"/>
        <v>2.7840670219293351</v>
      </c>
      <c r="AH832" s="304">
        <f t="shared" ca="1" si="376"/>
        <v>-7.0012835096894577</v>
      </c>
    </row>
    <row r="833" spans="1:34" x14ac:dyDescent="0.25">
      <c r="A833" s="347">
        <f t="shared" ca="1" si="354"/>
        <v>0.1</v>
      </c>
      <c r="B833" s="304">
        <f t="shared" ca="1" si="355"/>
        <v>37.900000000000205</v>
      </c>
      <c r="D833" s="306">
        <f t="shared" ca="1" si="356"/>
        <v>-0.49494811507249425</v>
      </c>
      <c r="E833" s="307">
        <f t="shared" ca="1" si="357"/>
        <v>-2.7861275930260128</v>
      </c>
      <c r="F833" s="304">
        <f t="shared" ca="1" si="358"/>
        <v>2.8297492117208445</v>
      </c>
      <c r="G833" s="306">
        <f t="shared" ca="1" si="359"/>
        <v>8.7612341910335392</v>
      </c>
      <c r="H833" s="307">
        <f t="shared" ca="1" si="360"/>
        <v>-125.31280208479866</v>
      </c>
      <c r="I833" s="304">
        <f t="shared" ca="1" si="361"/>
        <v>125.61869920873266</v>
      </c>
      <c r="J833" s="306">
        <f t="shared" ca="1" si="362"/>
        <v>600.49689269912676</v>
      </c>
      <c r="K833" s="307">
        <f t="shared" ca="1" si="363"/>
        <v>643.96066834429826</v>
      </c>
      <c r="L833" s="304">
        <f t="shared" ca="1" si="348"/>
        <v>880.50091454565893</v>
      </c>
      <c r="M833" s="306">
        <f t="shared" ca="1" si="364"/>
        <v>-1.5009949935161584</v>
      </c>
      <c r="N833" s="304">
        <f t="shared" ca="1" si="365"/>
        <v>-86.000678198742236</v>
      </c>
      <c r="P833" s="310">
        <f t="shared" ca="1" si="366"/>
        <v>23</v>
      </c>
      <c r="Q833" s="304">
        <f t="shared" ca="1" si="367"/>
        <v>0</v>
      </c>
      <c r="R833" s="306">
        <f t="shared" ca="1" si="368"/>
        <v>0</v>
      </c>
      <c r="S833" s="307">
        <f t="shared" ca="1" si="369"/>
        <v>10.637999999999975</v>
      </c>
      <c r="T833" s="304">
        <f t="shared" ca="1" si="349"/>
        <v>104.35877999999975</v>
      </c>
      <c r="U833" s="311">
        <f t="shared" ca="1" si="350"/>
        <v>0</v>
      </c>
      <c r="V833" s="306">
        <f t="shared" ca="1" si="351"/>
        <v>1.1485755355868896</v>
      </c>
      <c r="W833" s="304">
        <f t="shared" ca="1" si="352"/>
        <v>75.327964284229623</v>
      </c>
      <c r="Y833" s="314" t="str">
        <f t="shared" ca="1" si="370"/>
        <v/>
      </c>
      <c r="Z833" s="315" t="str">
        <f t="shared" ca="1" si="371"/>
        <v/>
      </c>
      <c r="AA833" s="316" t="str">
        <f t="shared" ca="1" si="372"/>
        <v/>
      </c>
      <c r="AC833" s="310" t="e">
        <f t="shared" ca="1" si="373"/>
        <v>#N/A</v>
      </c>
      <c r="AD833" s="323" t="e">
        <f t="shared" ca="1" si="374"/>
        <v>#N/A</v>
      </c>
      <c r="AE833" s="324" t="e">
        <f t="shared" ca="1" si="353"/>
        <v>#N/A</v>
      </c>
      <c r="AG833" s="306">
        <f t="shared" ca="1" si="375"/>
        <v>2.7444449205853054</v>
      </c>
      <c r="AH833" s="304">
        <f t="shared" ca="1" si="376"/>
        <v>-7.0412894576252416</v>
      </c>
    </row>
    <row r="834" spans="1:34" x14ac:dyDescent="0.25">
      <c r="A834" s="347">
        <f t="shared" ca="1" si="354"/>
        <v>0.1</v>
      </c>
      <c r="B834" s="304">
        <f t="shared" ca="1" si="355"/>
        <v>38.000000000000206</v>
      </c>
      <c r="D834" s="306">
        <f t="shared" ca="1" si="356"/>
        <v>-0.49386385526348908</v>
      </c>
      <c r="E834" s="307">
        <f t="shared" ca="1" si="357"/>
        <v>-2.7462162679310085</v>
      </c>
      <c r="F834" s="304">
        <f t="shared" ca="1" si="358"/>
        <v>2.7902697535873897</v>
      </c>
      <c r="G834" s="306">
        <f t="shared" ca="1" si="359"/>
        <v>8.7118478055071904</v>
      </c>
      <c r="H834" s="307">
        <f t="shared" ca="1" si="360"/>
        <v>-125.58742371159177</v>
      </c>
      <c r="I834" s="304">
        <f t="shared" ca="1" si="361"/>
        <v>125.88922625348526</v>
      </c>
      <c r="J834" s="306">
        <f t="shared" ca="1" si="362"/>
        <v>601.3705467989538</v>
      </c>
      <c r="K834" s="307">
        <f t="shared" ca="1" si="363"/>
        <v>631.41565705447874</v>
      </c>
      <c r="L834" s="304">
        <f t="shared" ca="1" si="348"/>
        <v>871.97033580897221</v>
      </c>
      <c r="M834" s="306">
        <f t="shared" ca="1" si="364"/>
        <v>-1.5015384833963243</v>
      </c>
      <c r="N834" s="304">
        <f t="shared" ca="1" si="365"/>
        <v>-86.031817875083817</v>
      </c>
      <c r="P834" s="310">
        <f t="shared" ca="1" si="366"/>
        <v>23</v>
      </c>
      <c r="Q834" s="304">
        <f t="shared" ca="1" si="367"/>
        <v>0</v>
      </c>
      <c r="R834" s="306">
        <f t="shared" ca="1" si="368"/>
        <v>0</v>
      </c>
      <c r="S834" s="307">
        <f t="shared" ca="1" si="369"/>
        <v>10.637999999999975</v>
      </c>
      <c r="T834" s="304">
        <f t="shared" ca="1" si="349"/>
        <v>104.35877999999975</v>
      </c>
      <c r="U834" s="311">
        <f t="shared" ca="1" si="350"/>
        <v>0</v>
      </c>
      <c r="V834" s="306">
        <f t="shared" ca="1" si="351"/>
        <v>1.1500187972799374</v>
      </c>
      <c r="W834" s="304">
        <f t="shared" ca="1" si="352"/>
        <v>75.747822522941092</v>
      </c>
      <c r="Y834" s="314" t="str">
        <f t="shared" ca="1" si="370"/>
        <v/>
      </c>
      <c r="Z834" s="315" t="str">
        <f t="shared" ca="1" si="371"/>
        <v/>
      </c>
      <c r="AA834" s="316" t="str">
        <f t="shared" ca="1" si="372"/>
        <v/>
      </c>
      <c r="AC834" s="310">
        <f t="shared" ca="1" si="373"/>
        <v>38.000000000000206</v>
      </c>
      <c r="AD834" s="323">
        <f t="shared" ca="1" si="374"/>
        <v>601.3705467989538</v>
      </c>
      <c r="AE834" s="324" t="e">
        <f t="shared" ca="1" si="353"/>
        <v>#N/A</v>
      </c>
      <c r="AG834" s="306">
        <f t="shared" ca="1" si="375"/>
        <v>2.7050845209454302</v>
      </c>
      <c r="AH834" s="304">
        <f t="shared" ca="1" si="376"/>
        <v>-7.0810269114711222</v>
      </c>
    </row>
    <row r="835" spans="1:34" x14ac:dyDescent="0.25">
      <c r="A835" s="347">
        <f t="shared" ca="1" si="354"/>
        <v>0.1</v>
      </c>
      <c r="B835" s="304">
        <f t="shared" ca="1" si="355"/>
        <v>38.100000000000207</v>
      </c>
      <c r="D835" s="306">
        <f t="shared" ca="1" si="356"/>
        <v>-0.4927559561218981</v>
      </c>
      <c r="E835" s="307">
        <f t="shared" ca="1" si="357"/>
        <v>-2.7065757403645776</v>
      </c>
      <c r="F835" s="304">
        <f t="shared" ca="1" si="358"/>
        <v>2.7510653701109447</v>
      </c>
      <c r="G835" s="306">
        <f t="shared" ca="1" si="359"/>
        <v>8.662572209895</v>
      </c>
      <c r="H835" s="307">
        <f t="shared" ca="1" si="360"/>
        <v>-125.85808128562823</v>
      </c>
      <c r="I835" s="304">
        <f t="shared" ca="1" si="361"/>
        <v>126.15584323443544</v>
      </c>
      <c r="J835" s="306">
        <f t="shared" ca="1" si="362"/>
        <v>602.23926779972396</v>
      </c>
      <c r="K835" s="307">
        <f t="shared" ca="1" si="363"/>
        <v>618.84338180461771</v>
      </c>
      <c r="L835" s="304">
        <f t="shared" ca="1" si="348"/>
        <v>863.5156436818753</v>
      </c>
      <c r="M835" s="306">
        <f t="shared" ca="1" si="364"/>
        <v>-1.5020766086493971</v>
      </c>
      <c r="N835" s="304">
        <f t="shared" ca="1" si="365"/>
        <v>-86.062650180934298</v>
      </c>
      <c r="P835" s="310">
        <f t="shared" ca="1" si="366"/>
        <v>23</v>
      </c>
      <c r="Q835" s="304">
        <f t="shared" ca="1" si="367"/>
        <v>0</v>
      </c>
      <c r="R835" s="306">
        <f t="shared" ca="1" si="368"/>
        <v>0</v>
      </c>
      <c r="S835" s="307">
        <f t="shared" ca="1" si="369"/>
        <v>10.637999999999975</v>
      </c>
      <c r="T835" s="304">
        <f t="shared" ca="1" si="349"/>
        <v>104.35877999999975</v>
      </c>
      <c r="U835" s="311">
        <f t="shared" ca="1" si="350"/>
        <v>0</v>
      </c>
      <c r="V835" s="306">
        <f t="shared" ca="1" si="351"/>
        <v>1.1514669575617769</v>
      </c>
      <c r="W835" s="304">
        <f t="shared" ca="1" si="352"/>
        <v>76.164800162651375</v>
      </c>
      <c r="Y835" s="314" t="str">
        <f t="shared" ca="1" si="370"/>
        <v/>
      </c>
      <c r="Z835" s="315" t="str">
        <f t="shared" ca="1" si="371"/>
        <v/>
      </c>
      <c r="AA835" s="316" t="str">
        <f t="shared" ca="1" si="372"/>
        <v/>
      </c>
      <c r="AC835" s="310" t="e">
        <f t="shared" ca="1" si="373"/>
        <v>#N/A</v>
      </c>
      <c r="AD835" s="323" t="e">
        <f t="shared" ca="1" si="374"/>
        <v>#N/A</v>
      </c>
      <c r="AE835" s="324" t="e">
        <f t="shared" ca="1" si="353"/>
        <v>#N/A</v>
      </c>
      <c r="AG835" s="306">
        <f t="shared" ca="1" si="375"/>
        <v>2.6659871492251597</v>
      </c>
      <c r="AH835" s="304">
        <f t="shared" ca="1" si="376"/>
        <v>-7.1204946910078277</v>
      </c>
    </row>
    <row r="836" spans="1:34" x14ac:dyDescent="0.25">
      <c r="A836" s="347">
        <f t="shared" ca="1" si="354"/>
        <v>0.1</v>
      </c>
      <c r="B836" s="304">
        <f t="shared" ca="1" si="355"/>
        <v>38.200000000000209</v>
      </c>
      <c r="D836" s="306">
        <f t="shared" ca="1" si="356"/>
        <v>-0.49162483992907408</v>
      </c>
      <c r="E836" s="307">
        <f t="shared" ca="1" si="357"/>
        <v>-2.6672071243285718</v>
      </c>
      <c r="F836" s="304">
        <f t="shared" ca="1" si="358"/>
        <v>2.7121373171918077</v>
      </c>
      <c r="G836" s="306">
        <f t="shared" ca="1" si="359"/>
        <v>8.613409725902093</v>
      </c>
      <c r="H836" s="307">
        <f t="shared" ca="1" si="360"/>
        <v>-126.12480199806109</v>
      </c>
      <c r="I836" s="304">
        <f t="shared" ca="1" si="361"/>
        <v>126.41857658649846</v>
      </c>
      <c r="J836" s="306">
        <f t="shared" ca="1" si="362"/>
        <v>603.10306689651384</v>
      </c>
      <c r="K836" s="307">
        <f t="shared" ca="1" si="363"/>
        <v>606.2442376404332</v>
      </c>
      <c r="L836" s="304">
        <f t="shared" ref="L836:L899" ca="1" si="377">SQRT(pos_x^2+pos_z^2)</f>
        <v>855.1405644525413</v>
      </c>
      <c r="M836" s="306">
        <f t="shared" ca="1" si="364"/>
        <v>-1.5026094496423221</v>
      </c>
      <c r="N836" s="304">
        <f t="shared" ca="1" si="365"/>
        <v>-86.093179720980459</v>
      </c>
      <c r="P836" s="310">
        <f t="shared" ca="1" si="366"/>
        <v>23</v>
      </c>
      <c r="Q836" s="304">
        <f t="shared" ca="1" si="367"/>
        <v>0</v>
      </c>
      <c r="R836" s="306">
        <f t="shared" ca="1" si="368"/>
        <v>0</v>
      </c>
      <c r="S836" s="307">
        <f t="shared" ca="1" si="369"/>
        <v>10.637999999999975</v>
      </c>
      <c r="T836" s="304">
        <f t="shared" ref="T836:T899" ca="1" si="378">m*g</f>
        <v>104.35877999999975</v>
      </c>
      <c r="U836" s="311">
        <f t="shared" ref="U836:U899" ca="1" si="379">IF(pos_xz&lt;L_rampe,Poids*COS(Beta),0)</f>
        <v>0</v>
      </c>
      <c r="V836" s="306">
        <f t="shared" ref="V836:V899" ca="1" si="380">Rho_moyen*(20000-Alt_rampe-pos_z)/(20000+Alt_rampe+pos_z)</f>
        <v>1.1529199855592347</v>
      </c>
      <c r="W836" s="304">
        <f t="shared" ref="W836:W899" ca="1" si="381">1/2*Rho*Sref*Cx*vit_xz^2</f>
        <v>76.578886140898661</v>
      </c>
      <c r="Y836" s="314" t="str">
        <f t="shared" ca="1" si="370"/>
        <v/>
      </c>
      <c r="Z836" s="315" t="str">
        <f t="shared" ca="1" si="371"/>
        <v/>
      </c>
      <c r="AA836" s="316" t="str">
        <f t="shared" ca="1" si="372"/>
        <v/>
      </c>
      <c r="AC836" s="310" t="e">
        <f t="shared" ca="1" si="373"/>
        <v>#N/A</v>
      </c>
      <c r="AD836" s="323" t="e">
        <f t="shared" ca="1" si="374"/>
        <v>#N/A</v>
      </c>
      <c r="AE836" s="324" t="e">
        <f t="shared" ref="AE836:AE899" ca="1" si="382">IF(t&lt;T_para, pos_z, NA())</f>
        <v>#N/A</v>
      </c>
      <c r="AG836" s="306">
        <f t="shared" ca="1" si="375"/>
        <v>2.6271540571243328</v>
      </c>
      <c r="AH836" s="304">
        <f t="shared" ca="1" si="376"/>
        <v>-7.1596916866564726</v>
      </c>
    </row>
    <row r="837" spans="1:34" x14ac:dyDescent="0.25">
      <c r="A837" s="347">
        <f t="shared" ref="A837:A900" ca="1" si="383">IF(B836+0.01&lt;=T_ini+ROUNDUP(Temps_fin_propu,0), 0.01, IF(K836&gt;0, 0.1, 0.0001))</f>
        <v>0.1</v>
      </c>
      <c r="B837" s="304">
        <f t="shared" ref="B837:B900" ca="1" si="384">B836+pas</f>
        <v>38.30000000000021</v>
      </c>
      <c r="D837" s="306">
        <f t="shared" ref="D837:D900" ca="1" si="385">IF(AND(L836&lt;L_rampe,Poussee&lt;Poids*SIN(M836)),0,(-W836+Poussee)/m*COS(M836)-U836/m*SIN(M836))</f>
        <v>-0.49047092710907103</v>
      </c>
      <c r="E837" s="307">
        <f t="shared" ref="E837:E900" ca="1" si="386">IF(AND(L836&lt;L_rampe,Poussee&lt;Poids*SIN(M836)),0,(-W836+Poussee)/m*SIN(M836)+U836/m*COS(M836)-Poids/m)</f>
        <v>-2.6281114638711394</v>
      </c>
      <c r="F837" s="304">
        <f t="shared" ref="F837:F900" ca="1" si="387">SQRT(acc_x^2+acc_z^2)</f>
        <v>2.6734867863653515</v>
      </c>
      <c r="G837" s="306">
        <f t="shared" ref="G837:G900" ca="1" si="388">G836+acc_x*pas</f>
        <v>8.5643626331911857</v>
      </c>
      <c r="H837" s="307">
        <f t="shared" ref="H837:H900" ca="1" si="389">H836+acc_z*pas</f>
        <v>-126.3876131444482</v>
      </c>
      <c r="I837" s="304">
        <f t="shared" ref="I837:I900" ca="1" si="390">SQRT(vit_x^2+vit_z^2)</f>
        <v>126.67745286223392</v>
      </c>
      <c r="J837" s="306">
        <f t="shared" ref="J837:J900" ca="1" si="391">J836+0.5*(vit_x+G836)*pas*(K836&gt;=0)</f>
        <v>603.96195551446851</v>
      </c>
      <c r="K837" s="307">
        <f t="shared" ref="K837:K900" ca="1" si="392">K836+0.5*(vit_z+H836)*pas</f>
        <v>593.61861688330771</v>
      </c>
      <c r="L837" s="304">
        <f t="shared" ca="1" si="377"/>
        <v>846.84892750673782</v>
      </c>
      <c r="M837" s="306">
        <f t="shared" ref="M837:M900" ca="1" si="393">IF(AND(L836&gt;L_rampe,G837&gt;0),ATAN2(G837,H837),$M$4)</f>
        <v>-1.5031370850302925</v>
      </c>
      <c r="N837" s="304">
        <f t="shared" ref="N837:N900" ca="1" si="394">DEGREES(Beta)</f>
        <v>-86.12341100183292</v>
      </c>
      <c r="P837" s="310">
        <f t="shared" ref="P837:P900" ca="1" si="395">MATCH(t-pas/2-T_ini,CdP_t)</f>
        <v>23</v>
      </c>
      <c r="Q837" s="304">
        <f t="shared" ref="Q837:Q900" ca="1" si="396">(INDEX(CdP,2,i_P+1)-INDEX(CdP,2,i_P+0))/(INDEX(CdP,1,i_P+1)-INDEX(CdP,1,i_P+0))*(t-pas/2-T_ini-INDEX(CdP,1,i_P+0))+INDEX(CdP,2,i_P+0)</f>
        <v>0</v>
      </c>
      <c r="R837" s="306">
        <f t="shared" ref="R837:R900" ca="1" si="397">Poussee/(g*ISP)</f>
        <v>0</v>
      </c>
      <c r="S837" s="307">
        <f t="shared" ref="S837:S900" ca="1" si="398">S836-Débit*pas</f>
        <v>10.637999999999975</v>
      </c>
      <c r="T837" s="304">
        <f t="shared" ca="1" si="378"/>
        <v>104.35877999999975</v>
      </c>
      <c r="U837" s="311">
        <f t="shared" ca="1" si="379"/>
        <v>0</v>
      </c>
      <c r="V837" s="306">
        <f t="shared" ca="1" si="380"/>
        <v>1.1543778505652345</v>
      </c>
      <c r="W837" s="304">
        <f t="shared" ca="1" si="381"/>
        <v>76.990070126153881</v>
      </c>
      <c r="Y837" s="314" t="str">
        <f t="shared" ref="Y837:Y900" ca="1" si="399">IF(AND(pos_z&lt;=0,K836&gt;0),"Impact balistique","") &amp; IF(AND(H838&lt;0,vit_z&gt;=0),"Apogée","") &amp; IF(AND(Poussee=0,Q836&gt;0),"Fin de propulsion","") &amp; IF(AND(L838&gt;L_rampe,pos_xz&lt;=L_rampe),"Sortie de rampe","")</f>
        <v/>
      </c>
      <c r="Z837" s="315" t="str">
        <f t="shared" ref="Z837:Z900" ca="1" si="400">IF(ABS(t-T_para)&lt;pas/2,"Para","")</f>
        <v/>
      </c>
      <c r="AA837" s="316" t="str">
        <f t="shared" ref="AA837:AA900" ca="1" si="401">IF(ABS(t-T_satellite)&lt;pas/2,"Satellite","")</f>
        <v/>
      </c>
      <c r="AC837" s="310" t="e">
        <f t="shared" ref="AC837:AC900" ca="1" si="402">IF(ABS(t-ROUND(t,0))&lt;0.001,t,NA())</f>
        <v>#N/A</v>
      </c>
      <c r="AD837" s="323" t="e">
        <f t="shared" ref="AD837:AD900" ca="1" si="403">IF(ABS(t-ROUND(t,0))&lt;0.001,pos_x,NA())</f>
        <v>#N/A</v>
      </c>
      <c r="AE837" s="324" t="e">
        <f t="shared" ca="1" si="382"/>
        <v>#N/A</v>
      </c>
      <c r="AG837" s="306">
        <f t="shared" ref="AG837:AG900" ca="1" si="404">IF(AND(L836&lt;L_rampe,Poussee&lt;Poids*SIN(M836)),0,(-W836+Poussee)/m-Poids*SIN(M836)/m)</f>
        <v>2.5885864229126136</v>
      </c>
      <c r="AH837" s="304">
        <f t="shared" ref="AH837:AH900" ca="1" si="405">IF(AND(L836&lt;L_rampe,Poussee&lt;Poids*SIN(M836)), g*SIN(M836), (-W836+Poussee)/m)</f>
        <v>-7.1986168585165293</v>
      </c>
    </row>
    <row r="838" spans="1:34" x14ac:dyDescent="0.25">
      <c r="A838" s="347">
        <f t="shared" ca="1" si="383"/>
        <v>0.1</v>
      </c>
      <c r="B838" s="304">
        <f t="shared" ca="1" si="384"/>
        <v>38.400000000000212</v>
      </c>
      <c r="D838" s="306">
        <f t="shared" ca="1" si="385"/>
        <v>-0.48929463614481689</v>
      </c>
      <c r="E838" s="307">
        <f t="shared" ca="1" si="386"/>
        <v>-2.5892897340590633</v>
      </c>
      <c r="F838" s="304">
        <f t="shared" ca="1" si="387"/>
        <v>2.6351149060076571</v>
      </c>
      <c r="G838" s="306">
        <f t="shared" ca="1" si="388"/>
        <v>8.5154331695767045</v>
      </c>
      <c r="H838" s="307">
        <f t="shared" ca="1" si="389"/>
        <v>-126.6465421178541</v>
      </c>
      <c r="I838" s="304">
        <f t="shared" ca="1" si="390"/>
        <v>126.93249872461709</v>
      </c>
      <c r="J838" s="306">
        <f t="shared" ca="1" si="391"/>
        <v>604.81594530460688</v>
      </c>
      <c r="K838" s="307">
        <f t="shared" ca="1" si="392"/>
        <v>580.96690912019255</v>
      </c>
      <c r="L838" s="304">
        <f t="shared" ca="1" si="377"/>
        <v>838.64466682104126</v>
      </c>
      <c r="M838" s="306">
        <f t="shared" ca="1" si="393"/>
        <v>-1.5036595918020876</v>
      </c>
      <c r="N838" s="304">
        <f t="shared" ca="1" si="394"/>
        <v>-86.15334843462378</v>
      </c>
      <c r="P838" s="310">
        <f t="shared" ca="1" si="395"/>
        <v>23</v>
      </c>
      <c r="Q838" s="304">
        <f t="shared" ca="1" si="396"/>
        <v>0</v>
      </c>
      <c r="R838" s="306">
        <f t="shared" ca="1" si="397"/>
        <v>0</v>
      </c>
      <c r="S838" s="307">
        <f t="shared" ca="1" si="398"/>
        <v>10.637999999999975</v>
      </c>
      <c r="T838" s="304">
        <f t="shared" ca="1" si="378"/>
        <v>104.35877999999975</v>
      </c>
      <c r="U838" s="311">
        <f t="shared" ca="1" si="379"/>
        <v>0</v>
      </c>
      <c r="V838" s="306">
        <f t="shared" ca="1" si="380"/>
        <v>1.1558405220401125</v>
      </c>
      <c r="W838" s="304">
        <f t="shared" ca="1" si="381"/>
        <v>77.398342507449513</v>
      </c>
      <c r="Y838" s="314" t="str">
        <f t="shared" ca="1" si="399"/>
        <v/>
      </c>
      <c r="Z838" s="315" t="str">
        <f t="shared" ca="1" si="400"/>
        <v/>
      </c>
      <c r="AA838" s="316" t="str">
        <f t="shared" ca="1" si="401"/>
        <v/>
      </c>
      <c r="AC838" s="310" t="e">
        <f t="shared" ca="1" si="402"/>
        <v>#N/A</v>
      </c>
      <c r="AD838" s="323" t="e">
        <f t="shared" ca="1" si="403"/>
        <v>#N/A</v>
      </c>
      <c r="AE838" s="324" t="e">
        <f t="shared" ca="1" si="382"/>
        <v>#N/A</v>
      </c>
      <c r="AG838" s="306">
        <f t="shared" ca="1" si="404"/>
        <v>2.5502853525170819</v>
      </c>
      <c r="AH838" s="304">
        <f t="shared" ca="1" si="405"/>
        <v>-7.2372692353970729</v>
      </c>
    </row>
    <row r="839" spans="1:34" x14ac:dyDescent="0.25">
      <c r="A839" s="347">
        <f t="shared" ca="1" si="383"/>
        <v>0.1</v>
      </c>
      <c r="B839" s="304">
        <f t="shared" ca="1" si="384"/>
        <v>38.500000000000213</v>
      </c>
      <c r="D839" s="306">
        <f t="shared" ca="1" si="385"/>
        <v>-0.48809638349674261</v>
      </c>
      <c r="E839" s="307">
        <f t="shared" ca="1" si="386"/>
        <v>-2.5507428419562936</v>
      </c>
      <c r="F839" s="304">
        <f t="shared" ca="1" si="387"/>
        <v>2.597022742560001</v>
      </c>
      <c r="G839" s="306">
        <f t="shared" ca="1" si="388"/>
        <v>8.4666235312270306</v>
      </c>
      <c r="H839" s="307">
        <f t="shared" ca="1" si="389"/>
        <v>-126.90161640204973</v>
      </c>
      <c r="I839" s="304">
        <f t="shared" ca="1" si="390"/>
        <v>127.18374093991929</v>
      </c>
      <c r="J839" s="306">
        <f t="shared" ca="1" si="391"/>
        <v>605.66504813964707</v>
      </c>
      <c r="K839" s="307">
        <f t="shared" ca="1" si="392"/>
        <v>568.28950119419733</v>
      </c>
      <c r="L839" s="304">
        <f t="shared" ca="1" si="377"/>
        <v>830.53182221125667</v>
      </c>
      <c r="M839" s="306">
        <f t="shared" ca="1" si="393"/>
        <v>-1.5041770453239904</v>
      </c>
      <c r="N839" s="304">
        <f t="shared" ca="1" si="394"/>
        <v>-86.182996337522994</v>
      </c>
      <c r="P839" s="310">
        <f t="shared" ca="1" si="395"/>
        <v>23</v>
      </c>
      <c r="Q839" s="304">
        <f t="shared" ca="1" si="396"/>
        <v>0</v>
      </c>
      <c r="R839" s="306">
        <f t="shared" ca="1" si="397"/>
        <v>0</v>
      </c>
      <c r="S839" s="307">
        <f t="shared" ca="1" si="398"/>
        <v>10.637999999999975</v>
      </c>
      <c r="T839" s="304">
        <f t="shared" ca="1" si="378"/>
        <v>104.35877999999975</v>
      </c>
      <c r="U839" s="311">
        <f t="shared" ca="1" si="379"/>
        <v>0</v>
      </c>
      <c r="V839" s="306">
        <f t="shared" ca="1" si="380"/>
        <v>1.1573079696128865</v>
      </c>
      <c r="W839" s="304">
        <f t="shared" ca="1" si="381"/>
        <v>77.803694383950443</v>
      </c>
      <c r="Y839" s="314" t="str">
        <f t="shared" ca="1" si="399"/>
        <v/>
      </c>
      <c r="Z839" s="315" t="str">
        <f t="shared" ca="1" si="400"/>
        <v/>
      </c>
      <c r="AA839" s="316" t="str">
        <f t="shared" ca="1" si="401"/>
        <v/>
      </c>
      <c r="AC839" s="310" t="e">
        <f t="shared" ca="1" si="402"/>
        <v>#N/A</v>
      </c>
      <c r="AD839" s="323" t="e">
        <f t="shared" ca="1" si="403"/>
        <v>#N/A</v>
      </c>
      <c r="AE839" s="324" t="e">
        <f t="shared" ca="1" si="382"/>
        <v>#N/A</v>
      </c>
      <c r="AG839" s="306">
        <f t="shared" ca="1" si="404"/>
        <v>2.5122518806116387</v>
      </c>
      <c r="AH839" s="304">
        <f t="shared" ca="1" si="405"/>
        <v>-7.2756479138418593</v>
      </c>
    </row>
    <row r="840" spans="1:34" x14ac:dyDescent="0.25">
      <c r="A840" s="347">
        <f t="shared" ca="1" si="383"/>
        <v>0.1</v>
      </c>
      <c r="B840" s="304">
        <f t="shared" ca="1" si="384"/>
        <v>38.600000000000215</v>
      </c>
      <c r="D840" s="306">
        <f t="shared" ca="1" si="385"/>
        <v>-0.48687658352390623</v>
      </c>
      <c r="E840" s="307">
        <f t="shared" ca="1" si="386"/>
        <v>-2.5124716276079671</v>
      </c>
      <c r="F840" s="304">
        <f t="shared" ca="1" si="387"/>
        <v>2.5592113017722742</v>
      </c>
      <c r="G840" s="306">
        <f t="shared" ca="1" si="388"/>
        <v>8.4179358728746401</v>
      </c>
      <c r="H840" s="307">
        <f t="shared" ca="1" si="389"/>
        <v>-127.15286356481052</v>
      </c>
      <c r="I840" s="304">
        <f t="shared" ca="1" si="390"/>
        <v>127.43120637069691</v>
      </c>
      <c r="J840" s="306">
        <f t="shared" ca="1" si="391"/>
        <v>606.50927610985218</v>
      </c>
      <c r="K840" s="307">
        <f t="shared" ca="1" si="392"/>
        <v>555.58677719585432</v>
      </c>
      <c r="L840" s="304">
        <f t="shared" ca="1" si="377"/>
        <v>822.51454029832973</v>
      </c>
      <c r="M840" s="306">
        <f t="shared" ca="1" si="393"/>
        <v>-1.5046895193823422</v>
      </c>
      <c r="N840" s="304">
        <f t="shared" ca="1" si="394"/>
        <v>-86.212358938176493</v>
      </c>
      <c r="P840" s="310">
        <f t="shared" ca="1" si="395"/>
        <v>23</v>
      </c>
      <c r="Q840" s="304">
        <f t="shared" ca="1" si="396"/>
        <v>0</v>
      </c>
      <c r="R840" s="306">
        <f t="shared" ca="1" si="397"/>
        <v>0</v>
      </c>
      <c r="S840" s="307">
        <f t="shared" ca="1" si="398"/>
        <v>10.637999999999975</v>
      </c>
      <c r="T840" s="304">
        <f t="shared" ca="1" si="378"/>
        <v>104.35877999999975</v>
      </c>
      <c r="U840" s="311">
        <f t="shared" ca="1" si="379"/>
        <v>0</v>
      </c>
      <c r="V840" s="306">
        <f t="shared" ca="1" si="380"/>
        <v>1.1587801630824799</v>
      </c>
      <c r="W840" s="304">
        <f t="shared" ca="1" si="381"/>
        <v>78.206117554472485</v>
      </c>
      <c r="Y840" s="314" t="str">
        <f t="shared" ca="1" si="399"/>
        <v/>
      </c>
      <c r="Z840" s="315" t="str">
        <f t="shared" ca="1" si="400"/>
        <v/>
      </c>
      <c r="AA840" s="316" t="str">
        <f t="shared" ca="1" si="401"/>
        <v/>
      </c>
      <c r="AC840" s="310" t="e">
        <f t="shared" ca="1" si="402"/>
        <v>#N/A</v>
      </c>
      <c r="AD840" s="323" t="e">
        <f t="shared" ca="1" si="403"/>
        <v>#N/A</v>
      </c>
      <c r="AE840" s="324" t="e">
        <f t="shared" ca="1" si="382"/>
        <v>#N/A</v>
      </c>
      <c r="AG840" s="306">
        <f t="shared" ca="1" si="404"/>
        <v>2.4744869717076616</v>
      </c>
      <c r="AH840" s="304">
        <f t="shared" ca="1" si="405"/>
        <v>-7.3137520571489594</v>
      </c>
    </row>
    <row r="841" spans="1:34" x14ac:dyDescent="0.25">
      <c r="A841" s="347">
        <f t="shared" ca="1" si="383"/>
        <v>0.1</v>
      </c>
      <c r="B841" s="304">
        <f t="shared" ca="1" si="384"/>
        <v>38.700000000000216</v>
      </c>
      <c r="D841" s="306">
        <f t="shared" ca="1" si="385"/>
        <v>-0.48563564840753043</v>
      </c>
      <c r="E841" s="307">
        <f t="shared" ca="1" si="386"/>
        <v>-2.4744768650293718</v>
      </c>
      <c r="F841" s="304">
        <f t="shared" ca="1" si="387"/>
        <v>2.5216815299656279</v>
      </c>
      <c r="G841" s="306">
        <f t="shared" ca="1" si="388"/>
        <v>8.3693723080338867</v>
      </c>
      <c r="H841" s="307">
        <f t="shared" ca="1" si="389"/>
        <v>-127.40031125131345</v>
      </c>
      <c r="I841" s="304">
        <f t="shared" ca="1" si="390"/>
        <v>127.67492196888954</v>
      </c>
      <c r="J841" s="306">
        <f t="shared" ca="1" si="391"/>
        <v>607.34864151889758</v>
      </c>
      <c r="K841" s="307">
        <f t="shared" ca="1" si="392"/>
        <v>542.85911845504813</v>
      </c>
      <c r="L841" s="304">
        <f t="shared" ca="1" si="377"/>
        <v>814.5970751510481</v>
      </c>
      <c r="M841" s="306">
        <f t="shared" ca="1" si="393"/>
        <v>-1.5051970862247774</v>
      </c>
      <c r="N841" s="304">
        <f t="shared" ca="1" si="394"/>
        <v>-86.241440376068809</v>
      </c>
      <c r="P841" s="310">
        <f t="shared" ca="1" si="395"/>
        <v>23</v>
      </c>
      <c r="Q841" s="304">
        <f t="shared" ca="1" si="396"/>
        <v>0</v>
      </c>
      <c r="R841" s="306">
        <f t="shared" ca="1" si="397"/>
        <v>0</v>
      </c>
      <c r="S841" s="307">
        <f t="shared" ca="1" si="398"/>
        <v>10.637999999999975</v>
      </c>
      <c r="T841" s="304">
        <f t="shared" ca="1" si="378"/>
        <v>104.35877999999975</v>
      </c>
      <c r="U841" s="311">
        <f t="shared" ca="1" si="379"/>
        <v>0</v>
      </c>
      <c r="V841" s="306">
        <f t="shared" ca="1" si="380"/>
        <v>1.1602570724189003</v>
      </c>
      <c r="W841" s="304">
        <f t="shared" ca="1" si="381"/>
        <v>78.605604506955231</v>
      </c>
      <c r="Y841" s="314" t="str">
        <f t="shared" ca="1" si="399"/>
        <v/>
      </c>
      <c r="Z841" s="315" t="str">
        <f t="shared" ca="1" si="400"/>
        <v/>
      </c>
      <c r="AA841" s="316" t="str">
        <f t="shared" ca="1" si="401"/>
        <v/>
      </c>
      <c r="AC841" s="310" t="e">
        <f t="shared" ca="1" si="402"/>
        <v>#N/A</v>
      </c>
      <c r="AD841" s="323" t="e">
        <f t="shared" ca="1" si="403"/>
        <v>#N/A</v>
      </c>
      <c r="AE841" s="324" t="e">
        <f t="shared" ca="1" si="382"/>
        <v>#N/A</v>
      </c>
      <c r="AG841" s="306">
        <f t="shared" ca="1" si="404"/>
        <v>2.4369915212455728</v>
      </c>
      <c r="AH841" s="304">
        <f t="shared" ca="1" si="405"/>
        <v>-7.3515808943854735</v>
      </c>
    </row>
    <row r="842" spans="1:34" x14ac:dyDescent="0.25">
      <c r="A842" s="347">
        <f t="shared" ca="1" si="383"/>
        <v>0.1</v>
      </c>
      <c r="B842" s="304">
        <f t="shared" ca="1" si="384"/>
        <v>38.800000000000217</v>
      </c>
      <c r="D842" s="306">
        <f t="shared" ca="1" si="385"/>
        <v>-0.48437398807698262</v>
      </c>
      <c r="E842" s="307">
        <f t="shared" ca="1" si="386"/>
        <v>-2.4367592631992405</v>
      </c>
      <c r="F842" s="304">
        <f t="shared" ca="1" si="387"/>
        <v>2.4844343153146364</v>
      </c>
      <c r="G842" s="306">
        <f t="shared" ca="1" si="388"/>
        <v>8.3209349092261888</v>
      </c>
      <c r="H842" s="307">
        <f t="shared" ca="1" si="389"/>
        <v>-127.64398717763338</v>
      </c>
      <c r="I842" s="304">
        <f t="shared" ca="1" si="390"/>
        <v>127.91491476902689</v>
      </c>
      <c r="J842" s="306">
        <f t="shared" ca="1" si="391"/>
        <v>608.18315687976053</v>
      </c>
      <c r="K842" s="307">
        <f t="shared" ca="1" si="392"/>
        <v>530.10690353360076</v>
      </c>
      <c r="L842" s="304">
        <f t="shared" ca="1" si="377"/>
        <v>806.78378856185111</v>
      </c>
      <c r="M842" s="306">
        <f t="shared" ca="1" si="393"/>
        <v>-1.5056998166001905</v>
      </c>
      <c r="N842" s="304">
        <f t="shared" ca="1" si="394"/>
        <v>-86.27024470481301</v>
      </c>
      <c r="P842" s="310">
        <f t="shared" ca="1" si="395"/>
        <v>23</v>
      </c>
      <c r="Q842" s="304">
        <f t="shared" ca="1" si="396"/>
        <v>0</v>
      </c>
      <c r="R842" s="306">
        <f t="shared" ca="1" si="397"/>
        <v>0</v>
      </c>
      <c r="S842" s="307">
        <f t="shared" ca="1" si="398"/>
        <v>10.637999999999975</v>
      </c>
      <c r="T842" s="304">
        <f t="shared" ca="1" si="378"/>
        <v>104.35877999999975</v>
      </c>
      <c r="U842" s="311">
        <f t="shared" ca="1" si="379"/>
        <v>0</v>
      </c>
      <c r="V842" s="306">
        <f t="shared" ca="1" si="380"/>
        <v>1.161738667764376</v>
      </c>
      <c r="W842" s="304">
        <f t="shared" ca="1" si="381"/>
        <v>79.002148407895461</v>
      </c>
      <c r="Y842" s="314" t="str">
        <f t="shared" ca="1" si="399"/>
        <v/>
      </c>
      <c r="Z842" s="315" t="str">
        <f t="shared" ca="1" si="400"/>
        <v/>
      </c>
      <c r="AA842" s="316" t="str">
        <f t="shared" ca="1" si="401"/>
        <v/>
      </c>
      <c r="AC842" s="310" t="e">
        <f t="shared" ca="1" si="402"/>
        <v>#N/A</v>
      </c>
      <c r="AD842" s="323" t="e">
        <f t="shared" ca="1" si="403"/>
        <v>#N/A</v>
      </c>
      <c r="AE842" s="324" t="e">
        <f t="shared" ca="1" si="382"/>
        <v>#N/A</v>
      </c>
      <c r="AG842" s="306">
        <f t="shared" ca="1" si="404"/>
        <v>2.3997663566868592</v>
      </c>
      <c r="AH842" s="304">
        <f t="shared" ca="1" si="405"/>
        <v>-7.389133719397952</v>
      </c>
    </row>
    <row r="843" spans="1:34" x14ac:dyDescent="0.25">
      <c r="A843" s="347">
        <f t="shared" ca="1" si="383"/>
        <v>0.1</v>
      </c>
      <c r="B843" s="304">
        <f t="shared" ca="1" si="384"/>
        <v>38.900000000000219</v>
      </c>
      <c r="D843" s="306">
        <f t="shared" ca="1" si="385"/>
        <v>-0.4830920101381429</v>
      </c>
      <c r="E843" s="307">
        <f t="shared" ca="1" si="386"/>
        <v>-2.399319467056773</v>
      </c>
      <c r="F843" s="304">
        <f t="shared" ca="1" si="387"/>
        <v>2.4474704891493397</v>
      </c>
      <c r="G843" s="306">
        <f t="shared" ca="1" si="388"/>
        <v>8.2726257082123738</v>
      </c>
      <c r="H843" s="307">
        <f t="shared" ca="1" si="389"/>
        <v>-127.88391912433906</v>
      </c>
      <c r="I843" s="304">
        <f t="shared" ca="1" si="390"/>
        <v>128.15121188154512</v>
      </c>
      <c r="J843" s="306">
        <f t="shared" ca="1" si="391"/>
        <v>609.01283491063248</v>
      </c>
      <c r="K843" s="307">
        <f t="shared" ca="1" si="392"/>
        <v>517.33050821850213</v>
      </c>
      <c r="L843" s="304">
        <f t="shared" ca="1" si="377"/>
        <v>799.07914990913071</v>
      </c>
      <c r="M843" s="306">
        <f t="shared" ca="1" si="393"/>
        <v>-1.5061977797974768</v>
      </c>
      <c r="N843" s="304">
        <f t="shared" ca="1" si="394"/>
        <v>-86.298775894370351</v>
      </c>
      <c r="P843" s="310">
        <f t="shared" ca="1" si="395"/>
        <v>23</v>
      </c>
      <c r="Q843" s="304">
        <f t="shared" ca="1" si="396"/>
        <v>0</v>
      </c>
      <c r="R843" s="306">
        <f t="shared" ca="1" si="397"/>
        <v>0</v>
      </c>
      <c r="S843" s="307">
        <f t="shared" ca="1" si="398"/>
        <v>10.637999999999975</v>
      </c>
      <c r="T843" s="304">
        <f t="shared" ca="1" si="378"/>
        <v>104.35877999999975</v>
      </c>
      <c r="U843" s="311">
        <f t="shared" ca="1" si="379"/>
        <v>0</v>
      </c>
      <c r="V843" s="306">
        <f t="shared" ca="1" si="380"/>
        <v>1.1632249194344442</v>
      </c>
      <c r="W843" s="304">
        <f t="shared" ca="1" si="381"/>
        <v>79.395743091746823</v>
      </c>
      <c r="Y843" s="314" t="str">
        <f t="shared" ca="1" si="399"/>
        <v/>
      </c>
      <c r="Z843" s="315" t="str">
        <f t="shared" ca="1" si="400"/>
        <v/>
      </c>
      <c r="AA843" s="316" t="str">
        <f t="shared" ca="1" si="401"/>
        <v/>
      </c>
      <c r="AC843" s="310" t="e">
        <f t="shared" ca="1" si="402"/>
        <v>#N/A</v>
      </c>
      <c r="AD843" s="323" t="e">
        <f t="shared" ca="1" si="403"/>
        <v>#N/A</v>
      </c>
      <c r="AE843" s="324" t="e">
        <f t="shared" ca="1" si="382"/>
        <v>#N/A</v>
      </c>
      <c r="AG843" s="306">
        <f t="shared" ca="1" si="404"/>
        <v>2.3628122386061099</v>
      </c>
      <c r="AH843" s="304">
        <f t="shared" ca="1" si="405"/>
        <v>-7.426409889819106</v>
      </c>
    </row>
    <row r="844" spans="1:34" x14ac:dyDescent="0.25">
      <c r="A844" s="347">
        <f t="shared" ca="1" si="383"/>
        <v>0.1</v>
      </c>
      <c r="B844" s="304">
        <f t="shared" ca="1" si="384"/>
        <v>39.00000000000022</v>
      </c>
      <c r="D844" s="306">
        <f t="shared" ca="1" si="385"/>
        <v>-0.48179011980415271</v>
      </c>
      <c r="E844" s="307">
        <f t="shared" ca="1" si="386"/>
        <v>-2.3621580585018593</v>
      </c>
      <c r="F844" s="304">
        <f t="shared" ca="1" si="387"/>
        <v>2.4107908272776744</v>
      </c>
      <c r="G844" s="306">
        <f t="shared" ca="1" si="388"/>
        <v>8.2244466962319578</v>
      </c>
      <c r="H844" s="307">
        <f t="shared" ca="1" si="389"/>
        <v>-128.12013493018924</v>
      </c>
      <c r="I844" s="304">
        <f t="shared" ca="1" si="390"/>
        <v>128.38384048621174</v>
      </c>
      <c r="J844" s="306">
        <f t="shared" ca="1" si="391"/>
        <v>609.83768853085473</v>
      </c>
      <c r="K844" s="307">
        <f t="shared" ca="1" si="392"/>
        <v>504.53030551577569</v>
      </c>
      <c r="L844" s="304">
        <f t="shared" ca="1" si="377"/>
        <v>791.48773555658954</v>
      </c>
      <c r="M844" s="306">
        <f t="shared" ca="1" si="393"/>
        <v>-1.5066910436830927</v>
      </c>
      <c r="N844" s="304">
        <f t="shared" ca="1" si="394"/>
        <v>-86.327037833202368</v>
      </c>
      <c r="P844" s="310">
        <f t="shared" ca="1" si="395"/>
        <v>23</v>
      </c>
      <c r="Q844" s="304">
        <f t="shared" ca="1" si="396"/>
        <v>0</v>
      </c>
      <c r="R844" s="306">
        <f t="shared" ca="1" si="397"/>
        <v>0</v>
      </c>
      <c r="S844" s="307">
        <f t="shared" ca="1" si="398"/>
        <v>10.637999999999975</v>
      </c>
      <c r="T844" s="304">
        <f t="shared" ca="1" si="378"/>
        <v>104.35877999999975</v>
      </c>
      <c r="U844" s="311">
        <f t="shared" ca="1" si="379"/>
        <v>0</v>
      </c>
      <c r="V844" s="306">
        <f t="shared" ca="1" si="380"/>
        <v>1.1647157979190026</v>
      </c>
      <c r="W844" s="304">
        <f t="shared" ca="1" si="381"/>
        <v>79.786383050292372</v>
      </c>
      <c r="Y844" s="314" t="str">
        <f t="shared" ca="1" si="399"/>
        <v/>
      </c>
      <c r="Z844" s="315" t="str">
        <f t="shared" ca="1" si="400"/>
        <v/>
      </c>
      <c r="AA844" s="316" t="str">
        <f t="shared" ca="1" si="401"/>
        <v/>
      </c>
      <c r="AC844" s="310">
        <f t="shared" ca="1" si="402"/>
        <v>39.00000000000022</v>
      </c>
      <c r="AD844" s="323">
        <f t="shared" ca="1" si="403"/>
        <v>609.83768853085473</v>
      </c>
      <c r="AE844" s="324" t="e">
        <f t="shared" ca="1" si="382"/>
        <v>#N/A</v>
      </c>
      <c r="AG844" s="306">
        <f t="shared" ca="1" si="404"/>
        <v>2.3261298617826904</v>
      </c>
      <c r="AH844" s="304">
        <f t="shared" ca="1" si="405"/>
        <v>-7.4634088260713485</v>
      </c>
    </row>
    <row r="845" spans="1:34" x14ac:dyDescent="0.25">
      <c r="A845" s="347">
        <f t="shared" ca="1" si="383"/>
        <v>0.1</v>
      </c>
      <c r="B845" s="304">
        <f t="shared" ca="1" si="384"/>
        <v>39.100000000000222</v>
      </c>
      <c r="D845" s="306">
        <f t="shared" ca="1" si="385"/>
        <v>-0.4804687198285239</v>
      </c>
      <c r="E845" s="307">
        <f t="shared" ca="1" si="386"/>
        <v>-2.3252755573978616</v>
      </c>
      <c r="F845" s="304">
        <f t="shared" ca="1" si="387"/>
        <v>2.3743960513287576</v>
      </c>
      <c r="G845" s="306">
        <f t="shared" ca="1" si="388"/>
        <v>8.1763998242491063</v>
      </c>
      <c r="H845" s="307">
        <f t="shared" ca="1" si="389"/>
        <v>-128.35266248592902</v>
      </c>
      <c r="I845" s="304">
        <f t="shared" ca="1" si="390"/>
        <v>128.61282782565971</v>
      </c>
      <c r="J845" s="306">
        <f t="shared" ca="1" si="391"/>
        <v>610.65773085687874</v>
      </c>
      <c r="K845" s="307">
        <f t="shared" ca="1" si="392"/>
        <v>491.7066656449698</v>
      </c>
      <c r="L845" s="304">
        <f t="shared" ca="1" si="377"/>
        <v>784.01422773758782</v>
      </c>
      <c r="M845" s="306">
        <f t="shared" ca="1" si="393"/>
        <v>-1.5071796747374762</v>
      </c>
      <c r="N845" s="304">
        <f t="shared" ca="1" si="394"/>
        <v>-86.355034330357569</v>
      </c>
      <c r="P845" s="310">
        <f t="shared" ca="1" si="395"/>
        <v>23</v>
      </c>
      <c r="Q845" s="304">
        <f t="shared" ca="1" si="396"/>
        <v>0</v>
      </c>
      <c r="R845" s="306">
        <f t="shared" ca="1" si="397"/>
        <v>0</v>
      </c>
      <c r="S845" s="307">
        <f t="shared" ca="1" si="398"/>
        <v>10.637999999999975</v>
      </c>
      <c r="T845" s="304">
        <f t="shared" ca="1" si="378"/>
        <v>104.35877999999975</v>
      </c>
      <c r="U845" s="311">
        <f t="shared" ca="1" si="379"/>
        <v>0</v>
      </c>
      <c r="V845" s="306">
        <f t="shared" ca="1" si="380"/>
        <v>1.1662112738833088</v>
      </c>
      <c r="W845" s="304">
        <f t="shared" ca="1" si="381"/>
        <v>80.174063421994603</v>
      </c>
      <c r="Y845" s="314" t="str">
        <f t="shared" ca="1" si="399"/>
        <v/>
      </c>
      <c r="Z845" s="315" t="str">
        <f t="shared" ca="1" si="400"/>
        <v/>
      </c>
      <c r="AA845" s="316" t="str">
        <f t="shared" ca="1" si="401"/>
        <v/>
      </c>
      <c r="AC845" s="310" t="e">
        <f t="shared" ca="1" si="402"/>
        <v>#N/A</v>
      </c>
      <c r="AD845" s="323" t="e">
        <f t="shared" ca="1" si="403"/>
        <v>#N/A</v>
      </c>
      <c r="AE845" s="324" t="e">
        <f t="shared" ca="1" si="382"/>
        <v>#N/A</v>
      </c>
      <c r="AG845" s="306">
        <f t="shared" ca="1" si="404"/>
        <v>2.289719856291569</v>
      </c>
      <c r="AH845" s="304">
        <f t="shared" ca="1" si="405"/>
        <v>-7.5001300103677906</v>
      </c>
    </row>
    <row r="846" spans="1:34" x14ac:dyDescent="0.25">
      <c r="A846" s="347">
        <f t="shared" ca="1" si="383"/>
        <v>0.1</v>
      </c>
      <c r="B846" s="304">
        <f t="shared" ca="1" si="384"/>
        <v>39.200000000000223</v>
      </c>
      <c r="D846" s="306">
        <f t="shared" ca="1" si="385"/>
        <v>-0.47912821044056497</v>
      </c>
      <c r="E846" s="307">
        <f t="shared" ca="1" si="386"/>
        <v>-2.2886724225765498</v>
      </c>
      <c r="F846" s="304">
        <f t="shared" ca="1" si="387"/>
        <v>2.3382868301178092</v>
      </c>
      <c r="G846" s="306">
        <f t="shared" ca="1" si="388"/>
        <v>8.1284870032050502</v>
      </c>
      <c r="H846" s="307">
        <f t="shared" ca="1" si="389"/>
        <v>-128.58152972818667</v>
      </c>
      <c r="I846" s="304">
        <f t="shared" ca="1" si="390"/>
        <v>128.83820119903035</v>
      </c>
      <c r="J846" s="306">
        <f t="shared" ca="1" si="391"/>
        <v>611.47297519825145</v>
      </c>
      <c r="K846" s="307">
        <f t="shared" ca="1" si="392"/>
        <v>478.85995603426403</v>
      </c>
      <c r="L846" s="304">
        <f t="shared" ca="1" si="377"/>
        <v>776.66341287004025</v>
      </c>
      <c r="M846" s="306">
        <f t="shared" ca="1" si="393"/>
        <v>-1.5076637380903675</v>
      </c>
      <c r="N846" s="304">
        <f t="shared" ca="1" si="394"/>
        <v>-86.382769117495187</v>
      </c>
      <c r="P846" s="310">
        <f t="shared" ca="1" si="395"/>
        <v>23</v>
      </c>
      <c r="Q846" s="304">
        <f t="shared" ca="1" si="396"/>
        <v>0</v>
      </c>
      <c r="R846" s="306">
        <f t="shared" ca="1" si="397"/>
        <v>0</v>
      </c>
      <c r="S846" s="307">
        <f t="shared" ca="1" si="398"/>
        <v>10.637999999999975</v>
      </c>
      <c r="T846" s="304">
        <f t="shared" ca="1" si="378"/>
        <v>104.35877999999975</v>
      </c>
      <c r="U846" s="311">
        <f t="shared" ca="1" si="379"/>
        <v>0</v>
      </c>
      <c r="V846" s="306">
        <f t="shared" ca="1" si="380"/>
        <v>1.1677113181689469</v>
      </c>
      <c r="W846" s="304">
        <f t="shared" ca="1" si="381"/>
        <v>80.558779981330204</v>
      </c>
      <c r="Y846" s="314" t="str">
        <f t="shared" ca="1" si="399"/>
        <v/>
      </c>
      <c r="Z846" s="315" t="str">
        <f t="shared" ca="1" si="400"/>
        <v/>
      </c>
      <c r="AA846" s="316" t="str">
        <f t="shared" ca="1" si="401"/>
        <v/>
      </c>
      <c r="AC846" s="310" t="e">
        <f t="shared" ca="1" si="402"/>
        <v>#N/A</v>
      </c>
      <c r="AD846" s="323" t="e">
        <f t="shared" ca="1" si="403"/>
        <v>#N/A</v>
      </c>
      <c r="AE846" s="324" t="e">
        <f t="shared" ca="1" si="382"/>
        <v>#N/A</v>
      </c>
      <c r="AG846" s="306">
        <f t="shared" ca="1" si="404"/>
        <v>2.2535827885930058</v>
      </c>
      <c r="AH846" s="304">
        <f t="shared" ca="1" si="405"/>
        <v>-7.5365729857111106</v>
      </c>
    </row>
    <row r="847" spans="1:34" x14ac:dyDescent="0.25">
      <c r="A847" s="347">
        <f t="shared" ca="1" si="383"/>
        <v>0.1</v>
      </c>
      <c r="B847" s="304">
        <f t="shared" ca="1" si="384"/>
        <v>39.300000000000225</v>
      </c>
      <c r="D847" s="306">
        <f t="shared" ca="1" si="385"/>
        <v>-0.47776898928312611</v>
      </c>
      <c r="E847" s="307">
        <f t="shared" ca="1" si="386"/>
        <v>-2.2523490528444743</v>
      </c>
      <c r="F847" s="304">
        <f t="shared" ca="1" si="387"/>
        <v>2.3024637810332695</v>
      </c>
      <c r="G847" s="306">
        <f t="shared" ca="1" si="388"/>
        <v>8.0807101042767382</v>
      </c>
      <c r="H847" s="307">
        <f t="shared" ca="1" si="389"/>
        <v>-128.80676463347112</v>
      </c>
      <c r="I847" s="304">
        <f t="shared" ca="1" si="390"/>
        <v>129.05998795572464</v>
      </c>
      <c r="J847" s="306">
        <f t="shared" ca="1" si="391"/>
        <v>612.28343505362557</v>
      </c>
      <c r="K847" s="307">
        <f t="shared" ca="1" si="392"/>
        <v>465.99054131618112</v>
      </c>
      <c r="L847" s="304">
        <f t="shared" ca="1" si="377"/>
        <v>769.4401792454139</v>
      </c>
      <c r="M847" s="306">
        <f t="shared" ca="1" si="393"/>
        <v>-1.5081432975550693</v>
      </c>
      <c r="N847" s="304">
        <f t="shared" ca="1" si="394"/>
        <v>-86.410245850848156</v>
      </c>
      <c r="P847" s="310">
        <f t="shared" ca="1" si="395"/>
        <v>23</v>
      </c>
      <c r="Q847" s="304">
        <f t="shared" ca="1" si="396"/>
        <v>0</v>
      </c>
      <c r="R847" s="306">
        <f t="shared" ca="1" si="397"/>
        <v>0</v>
      </c>
      <c r="S847" s="307">
        <f t="shared" ca="1" si="398"/>
        <v>10.637999999999975</v>
      </c>
      <c r="T847" s="304">
        <f t="shared" ca="1" si="378"/>
        <v>104.35877999999975</v>
      </c>
      <c r="U847" s="311">
        <f t="shared" ca="1" si="379"/>
        <v>0</v>
      </c>
      <c r="V847" s="306">
        <f t="shared" ca="1" si="380"/>
        <v>1.1692159017947432</v>
      </c>
      <c r="W847" s="304">
        <f t="shared" ca="1" si="381"/>
        <v>80.940529128113113</v>
      </c>
      <c r="Y847" s="314" t="str">
        <f t="shared" ca="1" si="399"/>
        <v/>
      </c>
      <c r="Z847" s="315" t="str">
        <f t="shared" ca="1" si="400"/>
        <v/>
      </c>
      <c r="AA847" s="316" t="str">
        <f t="shared" ca="1" si="401"/>
        <v/>
      </c>
      <c r="AC847" s="310" t="e">
        <f t="shared" ca="1" si="402"/>
        <v>#N/A</v>
      </c>
      <c r="AD847" s="323" t="e">
        <f t="shared" ca="1" si="403"/>
        <v>#N/A</v>
      </c>
      <c r="AE847" s="324" t="e">
        <f t="shared" ca="1" si="382"/>
        <v>#N/A</v>
      </c>
      <c r="AG847" s="306">
        <f t="shared" ca="1" si="404"/>
        <v>2.2177191626205568</v>
      </c>
      <c r="AH847" s="304">
        <f t="shared" ca="1" si="405"/>
        <v>-7.572737354890994</v>
      </c>
    </row>
    <row r="848" spans="1:34" x14ac:dyDescent="0.25">
      <c r="A848" s="347">
        <f t="shared" ca="1" si="383"/>
        <v>0.1</v>
      </c>
      <c r="B848" s="304">
        <f t="shared" ca="1" si="384"/>
        <v>39.400000000000226</v>
      </c>
      <c r="D848" s="306">
        <f t="shared" ca="1" si="385"/>
        <v>-0.47639145135261024</v>
      </c>
      <c r="E848" s="307">
        <f t="shared" ca="1" si="386"/>
        <v>-2.2163057879904491</v>
      </c>
      <c r="F848" s="304">
        <f t="shared" ca="1" si="387"/>
        <v>2.2669274714471594</v>
      </c>
      <c r="G848" s="306">
        <f t="shared" ca="1" si="388"/>
        <v>8.0330709591414777</v>
      </c>
      <c r="H848" s="307">
        <f t="shared" ca="1" si="389"/>
        <v>-129.02839521227017</v>
      </c>
      <c r="I848" s="304">
        <f t="shared" ca="1" si="390"/>
        <v>129.27821548926326</v>
      </c>
      <c r="J848" s="306">
        <f t="shared" ca="1" si="391"/>
        <v>613.08912410679648</v>
      </c>
      <c r="K848" s="307">
        <f t="shared" ca="1" si="392"/>
        <v>453.09878332389405</v>
      </c>
      <c r="L848" s="304">
        <f t="shared" ca="1" si="377"/>
        <v>762.34951403384002</v>
      </c>
      <c r="M848" s="306">
        <f t="shared" ca="1" si="393"/>
        <v>-1.508618415661682</v>
      </c>
      <c r="N848" s="304">
        <f t="shared" ca="1" si="394"/>
        <v>-86.437468113127309</v>
      </c>
      <c r="P848" s="310">
        <f t="shared" ca="1" si="395"/>
        <v>23</v>
      </c>
      <c r="Q848" s="304">
        <f t="shared" ca="1" si="396"/>
        <v>0</v>
      </c>
      <c r="R848" s="306">
        <f t="shared" ca="1" si="397"/>
        <v>0</v>
      </c>
      <c r="S848" s="307">
        <f t="shared" ca="1" si="398"/>
        <v>10.637999999999975</v>
      </c>
      <c r="T848" s="304">
        <f t="shared" ca="1" si="378"/>
        <v>104.35877999999975</v>
      </c>
      <c r="U848" s="311">
        <f t="shared" ca="1" si="379"/>
        <v>0</v>
      </c>
      <c r="V848" s="306">
        <f t="shared" ca="1" si="380"/>
        <v>1.1707249959576476</v>
      </c>
      <c r="W848" s="304">
        <f t="shared" ca="1" si="381"/>
        <v>81.319307876813184</v>
      </c>
      <c r="Y848" s="314" t="str">
        <f t="shared" ca="1" si="399"/>
        <v/>
      </c>
      <c r="Z848" s="315" t="str">
        <f t="shared" ca="1" si="400"/>
        <v/>
      </c>
      <c r="AA848" s="316" t="str">
        <f t="shared" ca="1" si="401"/>
        <v/>
      </c>
      <c r="AC848" s="310" t="e">
        <f t="shared" ca="1" si="402"/>
        <v>#N/A</v>
      </c>
      <c r="AD848" s="323" t="e">
        <f t="shared" ca="1" si="403"/>
        <v>#N/A</v>
      </c>
      <c r="AE848" s="324" t="e">
        <f t="shared" ca="1" si="382"/>
        <v>#N/A</v>
      </c>
      <c r="AG848" s="306">
        <f t="shared" ca="1" si="404"/>
        <v>2.1821294208671693</v>
      </c>
      <c r="AH848" s="304">
        <f t="shared" ca="1" si="405"/>
        <v>-7.6086227794804762</v>
      </c>
    </row>
    <row r="849" spans="1:34" x14ac:dyDescent="0.25">
      <c r="A849" s="347">
        <f t="shared" ca="1" si="383"/>
        <v>0.1</v>
      </c>
      <c r="B849" s="304">
        <f t="shared" ca="1" si="384"/>
        <v>39.500000000000227</v>
      </c>
      <c r="D849" s="306">
        <f t="shared" ca="1" si="385"/>
        <v>-0.47499598894124478</v>
      </c>
      <c r="E849" s="307">
        <f t="shared" ca="1" si="386"/>
        <v>-2.1805429097934779</v>
      </c>
      <c r="F849" s="304">
        <f t="shared" ca="1" si="387"/>
        <v>2.2316784201494797</v>
      </c>
      <c r="G849" s="306">
        <f t="shared" ca="1" si="388"/>
        <v>7.985571360247353</v>
      </c>
      <c r="H849" s="307">
        <f t="shared" ca="1" si="389"/>
        <v>-129.24644950324952</v>
      </c>
      <c r="I849" s="304">
        <f t="shared" ca="1" si="390"/>
        <v>129.49291123125479</v>
      </c>
      <c r="J849" s="306">
        <f t="shared" ca="1" si="391"/>
        <v>613.89005622276591</v>
      </c>
      <c r="K849" s="307">
        <f t="shared" ca="1" si="392"/>
        <v>440.18504108811806</v>
      </c>
      <c r="L849" s="304">
        <f t="shared" ca="1" si="377"/>
        <v>755.3964995463898</v>
      </c>
      <c r="M849" s="306">
        <f t="shared" ca="1" si="393"/>
        <v>-1.50908915368935</v>
      </c>
      <c r="N849" s="304">
        <f t="shared" ca="1" si="394"/>
        <v>-86.464439415369</v>
      </c>
      <c r="P849" s="310">
        <f t="shared" ca="1" si="395"/>
        <v>23</v>
      </c>
      <c r="Q849" s="304">
        <f t="shared" ca="1" si="396"/>
        <v>0</v>
      </c>
      <c r="R849" s="306">
        <f t="shared" ca="1" si="397"/>
        <v>0</v>
      </c>
      <c r="S849" s="307">
        <f t="shared" ca="1" si="398"/>
        <v>10.637999999999975</v>
      </c>
      <c r="T849" s="304">
        <f t="shared" ca="1" si="378"/>
        <v>104.35877999999975</v>
      </c>
      <c r="U849" s="311">
        <f t="shared" ca="1" si="379"/>
        <v>0</v>
      </c>
      <c r="V849" s="306">
        <f t="shared" ca="1" si="380"/>
        <v>1.1722385720335688</v>
      </c>
      <c r="W849" s="304">
        <f t="shared" ca="1" si="381"/>
        <v>81.695113845874232</v>
      </c>
      <c r="Y849" s="314" t="str">
        <f t="shared" ca="1" si="399"/>
        <v/>
      </c>
      <c r="Z849" s="315" t="str">
        <f t="shared" ca="1" si="400"/>
        <v/>
      </c>
      <c r="AA849" s="316" t="str">
        <f t="shared" ca="1" si="401"/>
        <v/>
      </c>
      <c r="AC849" s="310" t="e">
        <f t="shared" ca="1" si="402"/>
        <v>#N/A</v>
      </c>
      <c r="AD849" s="323" t="e">
        <f t="shared" ca="1" si="403"/>
        <v>#N/A</v>
      </c>
      <c r="AE849" s="324" t="e">
        <f t="shared" ca="1" si="382"/>
        <v>#N/A</v>
      </c>
      <c r="AG849" s="306">
        <f t="shared" ca="1" si="404"/>
        <v>2.1468139454688222</v>
      </c>
      <c r="AH849" s="304">
        <f t="shared" ca="1" si="405"/>
        <v>-7.6442289788318645</v>
      </c>
    </row>
    <row r="850" spans="1:34" x14ac:dyDescent="0.25">
      <c r="A850" s="347">
        <f t="shared" ca="1" si="383"/>
        <v>0.1</v>
      </c>
      <c r="B850" s="304">
        <f t="shared" ca="1" si="384"/>
        <v>39.600000000000229</v>
      </c>
      <c r="D850" s="306">
        <f t="shared" ca="1" si="385"/>
        <v>-0.4735829915815809</v>
      </c>
      <c r="E850" s="307">
        <f t="shared" ca="1" si="386"/>
        <v>-2.1450606430307237</v>
      </c>
      <c r="F850" s="304">
        <f t="shared" ca="1" si="387"/>
        <v>2.1967170988078419</v>
      </c>
      <c r="G850" s="306">
        <f t="shared" ca="1" si="388"/>
        <v>7.9382130610891952</v>
      </c>
      <c r="H850" s="307">
        <f t="shared" ca="1" si="389"/>
        <v>-129.46095556755259</v>
      </c>
      <c r="I850" s="304">
        <f t="shared" ca="1" si="390"/>
        <v>129.70410264547175</v>
      </c>
      <c r="J850" s="306">
        <f t="shared" ca="1" si="391"/>
        <v>614.68624544383272</v>
      </c>
      <c r="K850" s="307">
        <f t="shared" ca="1" si="392"/>
        <v>427.24967083457796</v>
      </c>
      <c r="L850" s="304">
        <f t="shared" ca="1" si="377"/>
        <v>748.58630869532396</v>
      </c>
      <c r="M850" s="306">
        <f t="shared" ca="1" si="393"/>
        <v>-1.5095555716975542</v>
      </c>
      <c r="N850" s="304">
        <f t="shared" ca="1" si="394"/>
        <v>-86.491163198728003</v>
      </c>
      <c r="P850" s="310">
        <f t="shared" ca="1" si="395"/>
        <v>23</v>
      </c>
      <c r="Q850" s="304">
        <f t="shared" ca="1" si="396"/>
        <v>0</v>
      </c>
      <c r="R850" s="306">
        <f t="shared" ca="1" si="397"/>
        <v>0</v>
      </c>
      <c r="S850" s="307">
        <f t="shared" ca="1" si="398"/>
        <v>10.637999999999975</v>
      </c>
      <c r="T850" s="304">
        <f t="shared" ca="1" si="378"/>
        <v>104.35877999999975</v>
      </c>
      <c r="U850" s="311">
        <f t="shared" ca="1" si="379"/>
        <v>0</v>
      </c>
      <c r="V850" s="306">
        <f t="shared" ca="1" si="380"/>
        <v>1.1737566015781726</v>
      </c>
      <c r="W850" s="304">
        <f t="shared" ca="1" si="381"/>
        <v>82.0679452470375</v>
      </c>
      <c r="Y850" s="314" t="str">
        <f t="shared" ca="1" si="399"/>
        <v/>
      </c>
      <c r="Z850" s="315" t="str">
        <f t="shared" ca="1" si="400"/>
        <v/>
      </c>
      <c r="AA850" s="316" t="str">
        <f t="shared" ca="1" si="401"/>
        <v/>
      </c>
      <c r="AC850" s="310" t="e">
        <f t="shared" ca="1" si="402"/>
        <v>#N/A</v>
      </c>
      <c r="AD850" s="323" t="e">
        <f t="shared" ca="1" si="403"/>
        <v>#N/A</v>
      </c>
      <c r="AE850" s="324" t="e">
        <f t="shared" ca="1" si="382"/>
        <v>#N/A</v>
      </c>
      <c r="AG850" s="306">
        <f t="shared" ca="1" si="404"/>
        <v>2.1117730592854356</v>
      </c>
      <c r="AH850" s="304">
        <f t="shared" ca="1" si="405"/>
        <v>-7.67955572907261</v>
      </c>
    </row>
    <row r="851" spans="1:34" x14ac:dyDescent="0.25">
      <c r="A851" s="347">
        <f t="shared" ca="1" si="383"/>
        <v>0.1</v>
      </c>
      <c r="B851" s="304">
        <f t="shared" ca="1" si="384"/>
        <v>39.70000000000023</v>
      </c>
      <c r="D851" s="306">
        <f t="shared" ca="1" si="385"/>
        <v>-0.47215284599318413</v>
      </c>
      <c r="E851" s="307">
        <f t="shared" ca="1" si="386"/>
        <v>-2.1098591564849931</v>
      </c>
      <c r="F851" s="304">
        <f t="shared" ca="1" si="387"/>
        <v>2.162043933453488</v>
      </c>
      <c r="G851" s="306">
        <f t="shared" ca="1" si="388"/>
        <v>7.8909977764898764</v>
      </c>
      <c r="H851" s="307">
        <f t="shared" ca="1" si="389"/>
        <v>-129.6719414832011</v>
      </c>
      <c r="I851" s="304">
        <f t="shared" ca="1" si="390"/>
        <v>129.9118172220345</v>
      </c>
      <c r="J851" s="306">
        <f t="shared" ca="1" si="391"/>
        <v>615.47770598571162</v>
      </c>
      <c r="K851" s="307">
        <f t="shared" ca="1" si="392"/>
        <v>414.29302598204026</v>
      </c>
      <c r="L851" s="304">
        <f t="shared" ca="1" si="377"/>
        <v>741.92419959372512</v>
      </c>
      <c r="M851" s="306">
        <f t="shared" ca="1" si="393"/>
        <v>-1.5100177285564802</v>
      </c>
      <c r="N851" s="304">
        <f t="shared" ca="1" si="394"/>
        <v>-86.517642836217476</v>
      </c>
      <c r="P851" s="310">
        <f t="shared" ca="1" si="395"/>
        <v>23</v>
      </c>
      <c r="Q851" s="304">
        <f t="shared" ca="1" si="396"/>
        <v>0</v>
      </c>
      <c r="R851" s="306">
        <f t="shared" ca="1" si="397"/>
        <v>0</v>
      </c>
      <c r="S851" s="307">
        <f t="shared" ca="1" si="398"/>
        <v>10.637999999999975</v>
      </c>
      <c r="T851" s="304">
        <f t="shared" ca="1" si="378"/>
        <v>104.35877999999975</v>
      </c>
      <c r="U851" s="311">
        <f t="shared" ca="1" si="379"/>
        <v>0</v>
      </c>
      <c r="V851" s="306">
        <f t="shared" ca="1" si="380"/>
        <v>1.1752790563276356</v>
      </c>
      <c r="W851" s="304">
        <f t="shared" ca="1" si="381"/>
        <v>82.437800874674707</v>
      </c>
      <c r="Y851" s="314" t="str">
        <f t="shared" ca="1" si="399"/>
        <v/>
      </c>
      <c r="Z851" s="315" t="str">
        <f t="shared" ca="1" si="400"/>
        <v/>
      </c>
      <c r="AA851" s="316" t="str">
        <f t="shared" ca="1" si="401"/>
        <v/>
      </c>
      <c r="AC851" s="310" t="e">
        <f t="shared" ca="1" si="402"/>
        <v>#N/A</v>
      </c>
      <c r="AD851" s="323" t="e">
        <f t="shared" ca="1" si="403"/>
        <v>#N/A</v>
      </c>
      <c r="AE851" s="324" t="e">
        <f t="shared" ca="1" si="382"/>
        <v>#N/A</v>
      </c>
      <c r="AG851" s="306">
        <f t="shared" ca="1" si="404"/>
        <v>2.0770070269786434</v>
      </c>
      <c r="AH851" s="304">
        <f t="shared" ca="1" si="405"/>
        <v>-7.7146028621016818</v>
      </c>
    </row>
    <row r="852" spans="1:34" x14ac:dyDescent="0.25">
      <c r="A852" s="347">
        <f t="shared" ca="1" si="383"/>
        <v>0.1</v>
      </c>
      <c r="B852" s="304">
        <f t="shared" ca="1" si="384"/>
        <v>39.800000000000232</v>
      </c>
      <c r="D852" s="306">
        <f t="shared" ca="1" si="385"/>
        <v>-0.47070593603150573</v>
      </c>
      <c r="E852" s="307">
        <f t="shared" ca="1" si="386"/>
        <v>-2.0749385639513154</v>
      </c>
      <c r="F852" s="304">
        <f t="shared" ca="1" si="387"/>
        <v>2.1276593059951217</v>
      </c>
      <c r="G852" s="306">
        <f t="shared" ca="1" si="388"/>
        <v>7.8439271828867261</v>
      </c>
      <c r="H852" s="307">
        <f t="shared" ca="1" si="389"/>
        <v>-129.87943533959623</v>
      </c>
      <c r="I852" s="304">
        <f t="shared" ca="1" si="390"/>
        <v>130.1160824717021</v>
      </c>
      <c r="J852" s="306">
        <f t="shared" ca="1" si="391"/>
        <v>616.26445223368046</v>
      </c>
      <c r="K852" s="307">
        <f t="shared" ca="1" si="392"/>
        <v>401.31545714090038</v>
      </c>
      <c r="L852" s="304">
        <f t="shared" ca="1" si="377"/>
        <v>735.41550923752493</v>
      </c>
      <c r="M852" s="306">
        <f t="shared" ca="1" si="393"/>
        <v>-1.5104756819764993</v>
      </c>
      <c r="N852" s="304">
        <f t="shared" ca="1" si="394"/>
        <v>-86.543881634398161</v>
      </c>
      <c r="P852" s="310">
        <f t="shared" ca="1" si="395"/>
        <v>23</v>
      </c>
      <c r="Q852" s="304">
        <f t="shared" ca="1" si="396"/>
        <v>0</v>
      </c>
      <c r="R852" s="306">
        <f t="shared" ca="1" si="397"/>
        <v>0</v>
      </c>
      <c r="S852" s="307">
        <f t="shared" ca="1" si="398"/>
        <v>10.637999999999975</v>
      </c>
      <c r="T852" s="304">
        <f t="shared" ca="1" si="378"/>
        <v>104.35877999999975</v>
      </c>
      <c r="U852" s="311">
        <f t="shared" ca="1" si="379"/>
        <v>0</v>
      </c>
      <c r="V852" s="306">
        <f t="shared" ca="1" si="380"/>
        <v>1.1768059081993629</v>
      </c>
      <c r="W852" s="304">
        <f t="shared" ca="1" si="381"/>
        <v>82.80468009513595</v>
      </c>
      <c r="Y852" s="314" t="str">
        <f t="shared" ca="1" si="399"/>
        <v/>
      </c>
      <c r="Z852" s="315" t="str">
        <f t="shared" ca="1" si="400"/>
        <v/>
      </c>
      <c r="AA852" s="316" t="str">
        <f t="shared" ca="1" si="401"/>
        <v/>
      </c>
      <c r="AC852" s="310" t="e">
        <f t="shared" ca="1" si="402"/>
        <v>#N/A</v>
      </c>
      <c r="AD852" s="323" t="e">
        <f t="shared" ca="1" si="403"/>
        <v>#N/A</v>
      </c>
      <c r="AE852" s="324" t="e">
        <f t="shared" ca="1" si="382"/>
        <v>#N/A</v>
      </c>
      <c r="AG852" s="306">
        <f t="shared" ca="1" si="404"/>
        <v>2.0425160560860895</v>
      </c>
      <c r="AH852" s="304">
        <f t="shared" ca="1" si="405"/>
        <v>-7.7493702645868492</v>
      </c>
    </row>
    <row r="853" spans="1:34" x14ac:dyDescent="0.25">
      <c r="A853" s="347">
        <f t="shared" ca="1" si="383"/>
        <v>0.1</v>
      </c>
      <c r="B853" s="304">
        <f t="shared" ca="1" si="384"/>
        <v>39.900000000000233</v>
      </c>
      <c r="D853" s="306">
        <f t="shared" ca="1" si="385"/>
        <v>-0.46924264263887877</v>
      </c>
      <c r="E853" s="307">
        <f t="shared" ca="1" si="386"/>
        <v>-2.0402989252421229</v>
      </c>
      <c r="F853" s="304">
        <f t="shared" ca="1" si="387"/>
        <v>2.093563555762012</v>
      </c>
      <c r="G853" s="306">
        <f t="shared" ca="1" si="388"/>
        <v>7.7970029186228382</v>
      </c>
      <c r="H853" s="307">
        <f t="shared" ca="1" si="389"/>
        <v>-130.08346523212043</v>
      </c>
      <c r="I853" s="304">
        <f t="shared" ca="1" si="390"/>
        <v>130.31692592027062</v>
      </c>
      <c r="J853" s="306">
        <f t="shared" ca="1" si="391"/>
        <v>617.04649873875599</v>
      </c>
      <c r="K853" s="307">
        <f t="shared" ca="1" si="392"/>
        <v>388.31731211231454</v>
      </c>
      <c r="L853" s="304">
        <f t="shared" ca="1" si="377"/>
        <v>729.06564621568214</v>
      </c>
      <c r="M853" s="306">
        <f t="shared" ca="1" si="393"/>
        <v>-1.510929488536785</v>
      </c>
      <c r="N853" s="304">
        <f t="shared" ca="1" si="394"/>
        <v>-86.569882835017879</v>
      </c>
      <c r="P853" s="310">
        <f t="shared" ca="1" si="395"/>
        <v>23</v>
      </c>
      <c r="Q853" s="304">
        <f t="shared" ca="1" si="396"/>
        <v>0</v>
      </c>
      <c r="R853" s="306">
        <f t="shared" ca="1" si="397"/>
        <v>0</v>
      </c>
      <c r="S853" s="307">
        <f t="shared" ca="1" si="398"/>
        <v>10.637999999999975</v>
      </c>
      <c r="T853" s="304">
        <f t="shared" ca="1" si="378"/>
        <v>104.35877999999975</v>
      </c>
      <c r="U853" s="311">
        <f t="shared" ca="1" si="379"/>
        <v>0</v>
      </c>
      <c r="V853" s="306">
        <f t="shared" ca="1" si="380"/>
        <v>1.1783371292926674</v>
      </c>
      <c r="W853" s="304">
        <f t="shared" ca="1" si="381"/>
        <v>83.168582836117864</v>
      </c>
      <c r="Y853" s="314" t="str">
        <f t="shared" ca="1" si="399"/>
        <v/>
      </c>
      <c r="Z853" s="315" t="str">
        <f t="shared" ca="1" si="400"/>
        <v/>
      </c>
      <c r="AA853" s="316" t="str">
        <f t="shared" ca="1" si="401"/>
        <v/>
      </c>
      <c r="AC853" s="310" t="e">
        <f t="shared" ca="1" si="402"/>
        <v>#N/A</v>
      </c>
      <c r="AD853" s="323" t="e">
        <f t="shared" ca="1" si="403"/>
        <v>#N/A</v>
      </c>
      <c r="AE853" s="324" t="e">
        <f t="shared" ca="1" si="382"/>
        <v>#N/A</v>
      </c>
      <c r="AG853" s="306">
        <f t="shared" ca="1" si="404"/>
        <v>2.008300298091882</v>
      </c>
      <c r="AH853" s="304">
        <f t="shared" ca="1" si="405"/>
        <v>-7.7838578769633529</v>
      </c>
    </row>
    <row r="854" spans="1:34" x14ac:dyDescent="0.25">
      <c r="A854" s="347">
        <f t="shared" ca="1" si="383"/>
        <v>0.1</v>
      </c>
      <c r="B854" s="304">
        <f t="shared" ca="1" si="384"/>
        <v>40.000000000000234</v>
      </c>
      <c r="D854" s="306">
        <f t="shared" ca="1" si="385"/>
        <v>-0.46776334379765255</v>
      </c>
      <c r="E854" s="307">
        <f t="shared" ca="1" si="386"/>
        <v>-2.005940247190547</v>
      </c>
      <c r="F854" s="304">
        <f t="shared" ca="1" si="387"/>
        <v>2.059756981078019</v>
      </c>
      <c r="G854" s="306">
        <f t="shared" ca="1" si="388"/>
        <v>7.7502265842430731</v>
      </c>
      <c r="H854" s="307">
        <f t="shared" ca="1" si="389"/>
        <v>-130.2840592568395</v>
      </c>
      <c r="I854" s="304">
        <f t="shared" ca="1" si="390"/>
        <v>130.51437510307733</v>
      </c>
      <c r="J854" s="306">
        <f t="shared" ca="1" si="391"/>
        <v>617.82386021389925</v>
      </c>
      <c r="K854" s="307">
        <f t="shared" ca="1" si="392"/>
        <v>375.29893588786655</v>
      </c>
      <c r="L854" s="304">
        <f t="shared" ca="1" si="377"/>
        <v>722.88008239829708</v>
      </c>
      <c r="M854" s="306">
        <f t="shared" ca="1" si="393"/>
        <v>-1.5113792037131013</v>
      </c>
      <c r="N854" s="304">
        <f t="shared" ca="1" si="394"/>
        <v>-86.595649616603779</v>
      </c>
      <c r="P854" s="310">
        <f t="shared" ca="1" si="395"/>
        <v>23</v>
      </c>
      <c r="Q854" s="304">
        <f t="shared" ca="1" si="396"/>
        <v>0</v>
      </c>
      <c r="R854" s="306">
        <f t="shared" ca="1" si="397"/>
        <v>0</v>
      </c>
      <c r="S854" s="307">
        <f t="shared" ca="1" si="398"/>
        <v>10.637999999999975</v>
      </c>
      <c r="T854" s="304">
        <f t="shared" ca="1" si="378"/>
        <v>104.35877999999975</v>
      </c>
      <c r="U854" s="311">
        <f t="shared" ca="1" si="379"/>
        <v>0</v>
      </c>
      <c r="V854" s="306">
        <f t="shared" ca="1" si="380"/>
        <v>1.179872691889406</v>
      </c>
      <c r="W854" s="304">
        <f t="shared" ca="1" si="381"/>
        <v>83.529509576054508</v>
      </c>
      <c r="Y854" s="314" t="str">
        <f t="shared" ca="1" si="399"/>
        <v/>
      </c>
      <c r="Z854" s="315" t="str">
        <f t="shared" ca="1" si="400"/>
        <v/>
      </c>
      <c r="AA854" s="316" t="str">
        <f t="shared" ca="1" si="401"/>
        <v/>
      </c>
      <c r="AC854" s="310">
        <f t="shared" ca="1" si="402"/>
        <v>40.000000000000234</v>
      </c>
      <c r="AD854" s="323">
        <f t="shared" ca="1" si="403"/>
        <v>617.82386021389925</v>
      </c>
      <c r="AE854" s="324" t="e">
        <f t="shared" ca="1" si="382"/>
        <v>#N/A</v>
      </c>
      <c r="AG854" s="306">
        <f t="shared" ca="1" si="404"/>
        <v>1.9743598494927816</v>
      </c>
      <c r="AH854" s="304">
        <f t="shared" ca="1" si="405"/>
        <v>-7.8180656924344856</v>
      </c>
    </row>
    <row r="855" spans="1:34" x14ac:dyDescent="0.25">
      <c r="A855" s="347">
        <f t="shared" ca="1" si="383"/>
        <v>0.1</v>
      </c>
      <c r="B855" s="304">
        <f t="shared" ca="1" si="384"/>
        <v>40.100000000000236</v>
      </c>
      <c r="D855" s="306">
        <f t="shared" ca="1" si="385"/>
        <v>-0.46626841448538464</v>
      </c>
      <c r="E855" s="307">
        <f t="shared" ca="1" si="386"/>
        <v>-1.9718624846515471</v>
      </c>
      <c r="F855" s="304">
        <f t="shared" ca="1" si="387"/>
        <v>2.0262398408685205</v>
      </c>
      <c r="G855" s="306">
        <f t="shared" ca="1" si="388"/>
        <v>7.7035997427945349</v>
      </c>
      <c r="H855" s="307">
        <f t="shared" ca="1" si="389"/>
        <v>-130.48124550530466</v>
      </c>
      <c r="I855" s="304">
        <f t="shared" ca="1" si="390"/>
        <v>130.70845755961153</v>
      </c>
      <c r="J855" s="306">
        <f t="shared" ca="1" si="391"/>
        <v>618.59655153025108</v>
      </c>
      <c r="K855" s="307">
        <f t="shared" ca="1" si="392"/>
        <v>362.26067064975933</v>
      </c>
      <c r="L855" s="304">
        <f t="shared" ca="1" si="377"/>
        <v>716.86434355792312</v>
      </c>
      <c r="M855" s="306">
        <f t="shared" ca="1" si="393"/>
        <v>-1.5118248819047855</v>
      </c>
      <c r="N855" s="304">
        <f t="shared" ca="1" si="394"/>
        <v>-86.621185096008304</v>
      </c>
      <c r="P855" s="310">
        <f t="shared" ca="1" si="395"/>
        <v>23</v>
      </c>
      <c r="Q855" s="304">
        <f t="shared" ca="1" si="396"/>
        <v>0</v>
      </c>
      <c r="R855" s="306">
        <f t="shared" ca="1" si="397"/>
        <v>0</v>
      </c>
      <c r="S855" s="307">
        <f t="shared" ca="1" si="398"/>
        <v>10.637999999999975</v>
      </c>
      <c r="T855" s="304">
        <f t="shared" ca="1" si="378"/>
        <v>104.35877999999975</v>
      </c>
      <c r="U855" s="311">
        <f t="shared" ca="1" si="379"/>
        <v>0</v>
      </c>
      <c r="V855" s="306">
        <f t="shared" ca="1" si="380"/>
        <v>1.1814125684545815</v>
      </c>
      <c r="W855" s="304">
        <f t="shared" ca="1" si="381"/>
        <v>83.887461333537985</v>
      </c>
      <c r="Y855" s="314" t="str">
        <f t="shared" ca="1" si="399"/>
        <v/>
      </c>
      <c r="Z855" s="315" t="str">
        <f t="shared" ca="1" si="400"/>
        <v/>
      </c>
      <c r="AA855" s="316" t="str">
        <f t="shared" ca="1" si="401"/>
        <v/>
      </c>
      <c r="AC855" s="310" t="e">
        <f t="shared" ca="1" si="402"/>
        <v>#N/A</v>
      </c>
      <c r="AD855" s="323" t="e">
        <f t="shared" ca="1" si="403"/>
        <v>#N/A</v>
      </c>
      <c r="AE855" s="324" t="e">
        <f t="shared" ca="1" si="382"/>
        <v>#N/A</v>
      </c>
      <c r="AG855" s="306">
        <f t="shared" ca="1" si="404"/>
        <v>1.9406947528599954</v>
      </c>
      <c r="AH855" s="304">
        <f t="shared" ca="1" si="405"/>
        <v>-7.8519937559743092</v>
      </c>
    </row>
    <row r="856" spans="1:34" x14ac:dyDescent="0.25">
      <c r="A856" s="347">
        <f t="shared" ca="1" si="383"/>
        <v>0.1</v>
      </c>
      <c r="B856" s="304">
        <f t="shared" ca="1" si="384"/>
        <v>40.200000000000237</v>
      </c>
      <c r="D856" s="306">
        <f t="shared" ca="1" si="385"/>
        <v>-0.46475822663210659</v>
      </c>
      <c r="E856" s="307">
        <f t="shared" ca="1" si="386"/>
        <v>-1.9380655415002668</v>
      </c>
      <c r="F856" s="304">
        <f t="shared" ca="1" si="387"/>
        <v>1.9930123563021236</v>
      </c>
      <c r="G856" s="306">
        <f t="shared" ca="1" si="388"/>
        <v>7.6571239201313244</v>
      </c>
      <c r="H856" s="307">
        <f t="shared" ca="1" si="389"/>
        <v>-130.67505205945469</v>
      </c>
      <c r="I856" s="304">
        <f t="shared" ca="1" si="390"/>
        <v>130.89920082823059</v>
      </c>
      <c r="J856" s="306">
        <f t="shared" ca="1" si="391"/>
        <v>619.36458771339733</v>
      </c>
      <c r="K856" s="307">
        <f t="shared" ca="1" si="392"/>
        <v>349.20285577152134</v>
      </c>
      <c r="L856" s="304">
        <f t="shared" ca="1" si="377"/>
        <v>711.02399888637558</v>
      </c>
      <c r="M856" s="306">
        <f t="shared" ca="1" si="393"/>
        <v>-1.5122665764609555</v>
      </c>
      <c r="N856" s="304">
        <f t="shared" ca="1" si="394"/>
        <v>-86.646492329910757</v>
      </c>
      <c r="P856" s="310">
        <f t="shared" ca="1" si="395"/>
        <v>23</v>
      </c>
      <c r="Q856" s="304">
        <f t="shared" ca="1" si="396"/>
        <v>0</v>
      </c>
      <c r="R856" s="306">
        <f t="shared" ca="1" si="397"/>
        <v>0</v>
      </c>
      <c r="S856" s="307">
        <f t="shared" ca="1" si="398"/>
        <v>10.637999999999975</v>
      </c>
      <c r="T856" s="304">
        <f t="shared" ca="1" si="378"/>
        <v>104.35877999999975</v>
      </c>
      <c r="U856" s="311">
        <f t="shared" ca="1" si="379"/>
        <v>0</v>
      </c>
      <c r="V856" s="306">
        <f t="shared" ca="1" si="380"/>
        <v>1.1829567316369067</v>
      </c>
      <c r="W856" s="304">
        <f t="shared" ca="1" si="381"/>
        <v>84.24243965677114</v>
      </c>
      <c r="Y856" s="314" t="str">
        <f t="shared" ca="1" si="399"/>
        <v/>
      </c>
      <c r="Z856" s="315" t="str">
        <f t="shared" ca="1" si="400"/>
        <v/>
      </c>
      <c r="AA856" s="316" t="str">
        <f t="shared" ca="1" si="401"/>
        <v/>
      </c>
      <c r="AC856" s="310" t="e">
        <f t="shared" ca="1" si="402"/>
        <v>#N/A</v>
      </c>
      <c r="AD856" s="323" t="e">
        <f t="shared" ca="1" si="403"/>
        <v>#N/A</v>
      </c>
      <c r="AE856" s="324" t="e">
        <f t="shared" ca="1" si="382"/>
        <v>#N/A</v>
      </c>
      <c r="AG856" s="306">
        <f t="shared" ca="1" si="404"/>
        <v>1.907304997895988</v>
      </c>
      <c r="AH856" s="304">
        <f t="shared" ca="1" si="405"/>
        <v>-7.8856421633331628</v>
      </c>
    </row>
    <row r="857" spans="1:34" x14ac:dyDescent="0.25">
      <c r="A857" s="347">
        <f t="shared" ca="1" si="383"/>
        <v>0.1</v>
      </c>
      <c r="B857" s="304">
        <f t="shared" ca="1" si="384"/>
        <v>40.300000000000239</v>
      </c>
      <c r="D857" s="306">
        <f t="shared" ca="1" si="385"/>
        <v>-0.46323314907959906</v>
      </c>
      <c r="E857" s="307">
        <f t="shared" ca="1" si="386"/>
        <v>-1.9045492716273529</v>
      </c>
      <c r="F857" s="304">
        <f t="shared" ca="1" si="387"/>
        <v>1.9600747124695228</v>
      </c>
      <c r="G857" s="306">
        <f t="shared" ca="1" si="388"/>
        <v>7.6108006052233641</v>
      </c>
      <c r="H857" s="307">
        <f t="shared" ca="1" si="389"/>
        <v>-130.86550698661742</v>
      </c>
      <c r="I857" s="304">
        <f t="shared" ca="1" si="390"/>
        <v>131.08663244098111</v>
      </c>
      <c r="J857" s="306">
        <f t="shared" ca="1" si="391"/>
        <v>620.12798393966511</v>
      </c>
      <c r="K857" s="307">
        <f t="shared" ca="1" si="392"/>
        <v>336.12582781921776</v>
      </c>
      <c r="L857" s="304">
        <f t="shared" ca="1" si="377"/>
        <v>705.36464937805613</v>
      </c>
      <c r="M857" s="306">
        <f t="shared" ca="1" si="393"/>
        <v>-1.5127043397059659</v>
      </c>
      <c r="N857" s="304">
        <f t="shared" ca="1" si="394"/>
        <v>-86.671574316275795</v>
      </c>
      <c r="P857" s="310">
        <f t="shared" ca="1" si="395"/>
        <v>23</v>
      </c>
      <c r="Q857" s="304">
        <f t="shared" ca="1" si="396"/>
        <v>0</v>
      </c>
      <c r="R857" s="306">
        <f t="shared" ca="1" si="397"/>
        <v>0</v>
      </c>
      <c r="S857" s="307">
        <f t="shared" ca="1" si="398"/>
        <v>10.637999999999975</v>
      </c>
      <c r="T857" s="304">
        <f t="shared" ca="1" si="378"/>
        <v>104.35877999999975</v>
      </c>
      <c r="U857" s="311">
        <f t="shared" ca="1" si="379"/>
        <v>0</v>
      </c>
      <c r="V857" s="306">
        <f t="shared" ca="1" si="380"/>
        <v>1.1845051542693275</v>
      </c>
      <c r="W857" s="304">
        <f t="shared" ca="1" si="381"/>
        <v>84.594446613057073</v>
      </c>
      <c r="Y857" s="314" t="str">
        <f t="shared" ca="1" si="399"/>
        <v/>
      </c>
      <c r="Z857" s="315" t="str">
        <f t="shared" ca="1" si="400"/>
        <v/>
      </c>
      <c r="AA857" s="316" t="str">
        <f t="shared" ca="1" si="401"/>
        <v/>
      </c>
      <c r="AC857" s="310" t="e">
        <f t="shared" ca="1" si="402"/>
        <v>#N/A</v>
      </c>
      <c r="AD857" s="323" t="e">
        <f t="shared" ca="1" si="403"/>
        <v>#N/A</v>
      </c>
      <c r="AE857" s="324" t="e">
        <f t="shared" ca="1" si="382"/>
        <v>#N/A</v>
      </c>
      <c r="AG857" s="306">
        <f t="shared" ca="1" si="404"/>
        <v>1.8741905224861855</v>
      </c>
      <c r="AH857" s="304">
        <f t="shared" ca="1" si="405"/>
        <v>-7.9190110600461869</v>
      </c>
    </row>
    <row r="858" spans="1:34" x14ac:dyDescent="0.25">
      <c r="A858" s="347">
        <f t="shared" ca="1" si="383"/>
        <v>0.1</v>
      </c>
      <c r="B858" s="304">
        <f t="shared" ca="1" si="384"/>
        <v>40.40000000000024</v>
      </c>
      <c r="D858" s="306">
        <f t="shared" ca="1" si="385"/>
        <v>-0.46169354754266789</v>
      </c>
      <c r="E858" s="307">
        <f t="shared" ca="1" si="386"/>
        <v>-1.8713134799308104</v>
      </c>
      <c r="F858" s="304">
        <f t="shared" ca="1" si="387"/>
        <v>1.9274270601019623</v>
      </c>
      <c r="G858" s="306">
        <f t="shared" ca="1" si="388"/>
        <v>7.5646312504690973</v>
      </c>
      <c r="H858" s="307">
        <f t="shared" ca="1" si="389"/>
        <v>-131.05263833461049</v>
      </c>
      <c r="I858" s="304">
        <f t="shared" ca="1" si="390"/>
        <v>131.27077991852488</v>
      </c>
      <c r="J858" s="306">
        <f t="shared" ca="1" si="391"/>
        <v>620.88675553244968</v>
      </c>
      <c r="K858" s="307">
        <f t="shared" ca="1" si="392"/>
        <v>323.02992055315639</v>
      </c>
      <c r="L858" s="304">
        <f t="shared" ca="1" si="377"/>
        <v>699.89191506131181</v>
      </c>
      <c r="M858" s="306">
        <f t="shared" ca="1" si="393"/>
        <v>-1.5131382229641379</v>
      </c>
      <c r="N858" s="304">
        <f t="shared" ca="1" si="394"/>
        <v>-86.696433995770448</v>
      </c>
      <c r="P858" s="310">
        <f t="shared" ca="1" si="395"/>
        <v>23</v>
      </c>
      <c r="Q858" s="304">
        <f t="shared" ca="1" si="396"/>
        <v>0</v>
      </c>
      <c r="R858" s="306">
        <f t="shared" ca="1" si="397"/>
        <v>0</v>
      </c>
      <c r="S858" s="307">
        <f t="shared" ca="1" si="398"/>
        <v>10.637999999999975</v>
      </c>
      <c r="T858" s="304">
        <f t="shared" ca="1" si="378"/>
        <v>104.35877999999975</v>
      </c>
      <c r="U858" s="311">
        <f t="shared" ca="1" si="379"/>
        <v>0</v>
      </c>
      <c r="V858" s="306">
        <f t="shared" ca="1" si="380"/>
        <v>1.1860578093695151</v>
      </c>
      <c r="W858" s="304">
        <f t="shared" ca="1" si="381"/>
        <v>84.943484778330344</v>
      </c>
      <c r="Y858" s="314" t="str">
        <f t="shared" ca="1" si="399"/>
        <v/>
      </c>
      <c r="Z858" s="315" t="str">
        <f t="shared" ca="1" si="400"/>
        <v/>
      </c>
      <c r="AA858" s="316" t="str">
        <f t="shared" ca="1" si="401"/>
        <v/>
      </c>
      <c r="AC858" s="310" t="e">
        <f t="shared" ca="1" si="402"/>
        <v>#N/A</v>
      </c>
      <c r="AD858" s="323" t="e">
        <f t="shared" ca="1" si="403"/>
        <v>#N/A</v>
      </c>
      <c r="AE858" s="324" t="e">
        <f t="shared" ca="1" si="382"/>
        <v>#N/A</v>
      </c>
      <c r="AG858" s="306">
        <f t="shared" ca="1" si="404"/>
        <v>1.8413512137451988</v>
      </c>
      <c r="AH858" s="304">
        <f t="shared" ca="1" si="405"/>
        <v>-7.9521006404453161</v>
      </c>
    </row>
    <row r="859" spans="1:34" x14ac:dyDescent="0.25">
      <c r="A859" s="347">
        <f t="shared" ca="1" si="383"/>
        <v>0.1</v>
      </c>
      <c r="B859" s="304">
        <f t="shared" ca="1" si="384"/>
        <v>40.500000000000242</v>
      </c>
      <c r="D859" s="306">
        <f t="shared" ca="1" si="385"/>
        <v>-0.46013978457237847</v>
      </c>
      <c r="E859" s="307">
        <f t="shared" ca="1" si="386"/>
        <v>-1.8383579233039331</v>
      </c>
      <c r="F859" s="304">
        <f t="shared" ca="1" si="387"/>
        <v>1.8950695173319274</v>
      </c>
      <c r="G859" s="306">
        <f t="shared" ca="1" si="388"/>
        <v>7.5186172720118591</v>
      </c>
      <c r="H859" s="307">
        <f t="shared" ca="1" si="389"/>
        <v>-131.23647412694089</v>
      </c>
      <c r="I859" s="304">
        <f t="shared" ca="1" si="390"/>
        <v>131.45167076516836</v>
      </c>
      <c r="J859" s="306">
        <f t="shared" ca="1" si="391"/>
        <v>621.64091795857371</v>
      </c>
      <c r="K859" s="307">
        <f t="shared" ca="1" si="392"/>
        <v>309.91546493007883</v>
      </c>
      <c r="L859" s="304">
        <f t="shared" ca="1" si="377"/>
        <v>694.61142107167018</v>
      </c>
      <c r="M859" s="306">
        <f t="shared" ca="1" si="393"/>
        <v>-1.5135682765837881</v>
      </c>
      <c r="N859" s="304">
        <f t="shared" ca="1" si="394"/>
        <v>-86.721074253140728</v>
      </c>
      <c r="P859" s="310">
        <f t="shared" ca="1" si="395"/>
        <v>23</v>
      </c>
      <c r="Q859" s="304">
        <f t="shared" ca="1" si="396"/>
        <v>0</v>
      </c>
      <c r="R859" s="306">
        <f t="shared" ca="1" si="397"/>
        <v>0</v>
      </c>
      <c r="S859" s="307">
        <f t="shared" ca="1" si="398"/>
        <v>10.637999999999975</v>
      </c>
      <c r="T859" s="304">
        <f t="shared" ca="1" si="378"/>
        <v>104.35877999999975</v>
      </c>
      <c r="U859" s="311">
        <f t="shared" ca="1" si="379"/>
        <v>0</v>
      </c>
      <c r="V859" s="306">
        <f t="shared" ca="1" si="380"/>
        <v>1.1876146701403167</v>
      </c>
      <c r="W859" s="304">
        <f t="shared" ca="1" si="381"/>
        <v>85.289557226731986</v>
      </c>
      <c r="Y859" s="314" t="str">
        <f t="shared" ca="1" si="399"/>
        <v/>
      </c>
      <c r="Z859" s="315" t="str">
        <f t="shared" ca="1" si="400"/>
        <v/>
      </c>
      <c r="AA859" s="316" t="str">
        <f t="shared" ca="1" si="401"/>
        <v/>
      </c>
      <c r="AC859" s="310" t="e">
        <f t="shared" ca="1" si="402"/>
        <v>#N/A</v>
      </c>
      <c r="AD859" s="323" t="e">
        <f t="shared" ca="1" si="403"/>
        <v>#N/A</v>
      </c>
      <c r="AE859" s="324" t="e">
        <f t="shared" ca="1" si="382"/>
        <v>#N/A</v>
      </c>
      <c r="AG859" s="306">
        <f t="shared" ca="1" si="404"/>
        <v>1.8087869090571909</v>
      </c>
      <c r="AH859" s="304">
        <f t="shared" ca="1" si="405"/>
        <v>-7.9849111466751781</v>
      </c>
    </row>
    <row r="860" spans="1:34" x14ac:dyDescent="0.25">
      <c r="A860" s="347">
        <f t="shared" ca="1" si="383"/>
        <v>0.1</v>
      </c>
      <c r="B860" s="304">
        <f t="shared" ca="1" si="384"/>
        <v>40.600000000000243</v>
      </c>
      <c r="D860" s="306">
        <f t="shared" ca="1" si="385"/>
        <v>-0.45857221952122107</v>
      </c>
      <c r="E860" s="307">
        <f t="shared" ca="1" si="386"/>
        <v>-1.8056823116190994</v>
      </c>
      <c r="F860" s="304">
        <f t="shared" ca="1" si="387"/>
        <v>1.8630021714991944</v>
      </c>
      <c r="G860" s="306">
        <f t="shared" ca="1" si="388"/>
        <v>7.4727600500597369</v>
      </c>
      <c r="H860" s="307">
        <f t="shared" ca="1" si="389"/>
        <v>-131.4170423581028</v>
      </c>
      <c r="I860" s="304">
        <f t="shared" ca="1" si="390"/>
        <v>131.62933246399587</v>
      </c>
      <c r="J860" s="306">
        <f t="shared" ca="1" si="391"/>
        <v>622.39048682467728</v>
      </c>
      <c r="K860" s="307">
        <f t="shared" ca="1" si="392"/>
        <v>296.78278910582662</v>
      </c>
      <c r="L860" s="304">
        <f t="shared" ca="1" si="377"/>
        <v>689.52878257494979</v>
      </c>
      <c r="M860" s="306">
        <f t="shared" ca="1" si="393"/>
        <v>-1.5139945499605767</v>
      </c>
      <c r="N860" s="304">
        <f t="shared" ca="1" si="394"/>
        <v>-86.745497918549503</v>
      </c>
      <c r="P860" s="310">
        <f t="shared" ca="1" si="395"/>
        <v>23</v>
      </c>
      <c r="Q860" s="304">
        <f t="shared" ca="1" si="396"/>
        <v>0</v>
      </c>
      <c r="R860" s="306">
        <f t="shared" ca="1" si="397"/>
        <v>0</v>
      </c>
      <c r="S860" s="307">
        <f t="shared" ca="1" si="398"/>
        <v>10.637999999999975</v>
      </c>
      <c r="T860" s="304">
        <f t="shared" ca="1" si="378"/>
        <v>104.35877999999975</v>
      </c>
      <c r="U860" s="311">
        <f t="shared" ca="1" si="379"/>
        <v>0</v>
      </c>
      <c r="V860" s="306">
        <f t="shared" ca="1" si="380"/>
        <v>1.1891757099701759</v>
      </c>
      <c r="W860" s="304">
        <f t="shared" ca="1" si="381"/>
        <v>85.63266752023398</v>
      </c>
      <c r="Y860" s="314" t="str">
        <f t="shared" ca="1" si="399"/>
        <v/>
      </c>
      <c r="Z860" s="315" t="str">
        <f t="shared" ca="1" si="400"/>
        <v/>
      </c>
      <c r="AA860" s="316" t="str">
        <f t="shared" ca="1" si="401"/>
        <v/>
      </c>
      <c r="AC860" s="310" t="e">
        <f t="shared" ca="1" si="402"/>
        <v>#N/A</v>
      </c>
      <c r="AD860" s="323" t="e">
        <f t="shared" ca="1" si="403"/>
        <v>#N/A</v>
      </c>
      <c r="AE860" s="324" t="e">
        <f t="shared" ca="1" si="382"/>
        <v>#N/A</v>
      </c>
      <c r="AG860" s="306">
        <f t="shared" ca="1" si="404"/>
        <v>1.7764973971102673</v>
      </c>
      <c r="AH860" s="304">
        <f t="shared" ca="1" si="405"/>
        <v>-8.0174428677131218</v>
      </c>
    </row>
    <row r="861" spans="1:34" x14ac:dyDescent="0.25">
      <c r="A861" s="347">
        <f t="shared" ca="1" si="383"/>
        <v>0.1</v>
      </c>
      <c r="B861" s="304">
        <f t="shared" ca="1" si="384"/>
        <v>40.700000000000244</v>
      </c>
      <c r="D861" s="306">
        <f t="shared" ca="1" si="385"/>
        <v>-0.4569912085101811</v>
      </c>
      <c r="E861" s="307">
        <f t="shared" ca="1" si="386"/>
        <v>-1.773286308706906</v>
      </c>
      <c r="F861" s="304">
        <f t="shared" ca="1" si="387"/>
        <v>1.8312250810053252</v>
      </c>
      <c r="G861" s="306">
        <f t="shared" ca="1" si="388"/>
        <v>7.4270609292087189</v>
      </c>
      <c r="H861" s="307">
        <f t="shared" ca="1" si="389"/>
        <v>-131.59437098897351</v>
      </c>
      <c r="I861" s="304">
        <f t="shared" ca="1" si="390"/>
        <v>131.80379247210519</v>
      </c>
      <c r="J861" s="306">
        <f t="shared" ca="1" si="391"/>
        <v>623.13547787364075</v>
      </c>
      <c r="K861" s="307">
        <f t="shared" ca="1" si="392"/>
        <v>283.63221843847282</v>
      </c>
      <c r="L861" s="304">
        <f t="shared" ca="1" si="377"/>
        <v>684.64958856420867</v>
      </c>
      <c r="M861" s="306">
        <f t="shared" ca="1" si="393"/>
        <v>-1.5144170915602011</v>
      </c>
      <c r="N861" s="304">
        <f t="shared" ca="1" si="394"/>
        <v>-86.769707768876685</v>
      </c>
      <c r="P861" s="310">
        <f t="shared" ca="1" si="395"/>
        <v>23</v>
      </c>
      <c r="Q861" s="304">
        <f t="shared" ca="1" si="396"/>
        <v>0</v>
      </c>
      <c r="R861" s="306">
        <f t="shared" ca="1" si="397"/>
        <v>0</v>
      </c>
      <c r="S861" s="307">
        <f t="shared" ca="1" si="398"/>
        <v>10.637999999999975</v>
      </c>
      <c r="T861" s="304">
        <f t="shared" ca="1" si="378"/>
        <v>104.35877999999975</v>
      </c>
      <c r="U861" s="311">
        <f t="shared" ca="1" si="379"/>
        <v>0</v>
      </c>
      <c r="V861" s="306">
        <f t="shared" ca="1" si="380"/>
        <v>1.1907409024335112</v>
      </c>
      <c r="W861" s="304">
        <f t="shared" ca="1" si="381"/>
        <v>85.972819698315121</v>
      </c>
      <c r="Y861" s="314" t="str">
        <f t="shared" ca="1" si="399"/>
        <v/>
      </c>
      <c r="Z861" s="315" t="str">
        <f t="shared" ca="1" si="400"/>
        <v/>
      </c>
      <c r="AA861" s="316" t="str">
        <f t="shared" ca="1" si="401"/>
        <v/>
      </c>
      <c r="AC861" s="310" t="e">
        <f t="shared" ca="1" si="402"/>
        <v>#N/A</v>
      </c>
      <c r="AD861" s="323" t="e">
        <f t="shared" ca="1" si="403"/>
        <v>#N/A</v>
      </c>
      <c r="AE861" s="324" t="e">
        <f t="shared" ca="1" si="382"/>
        <v>#N/A</v>
      </c>
      <c r="AG861" s="306">
        <f t="shared" ca="1" si="404"/>
        <v>1.7444824189244024</v>
      </c>
      <c r="AH861" s="304">
        <f t="shared" ca="1" si="405"/>
        <v>-8.0496961383938874</v>
      </c>
    </row>
    <row r="862" spans="1:34" x14ac:dyDescent="0.25">
      <c r="A862" s="347">
        <f t="shared" ca="1" si="383"/>
        <v>0.1</v>
      </c>
      <c r="B862" s="304">
        <f t="shared" ca="1" si="384"/>
        <v>40.800000000000246</v>
      </c>
      <c r="D862" s="306">
        <f t="shared" ca="1" si="385"/>
        <v>-0.45539710439766146</v>
      </c>
      <c r="E862" s="307">
        <f t="shared" ca="1" si="386"/>
        <v>-1.7411695333304635</v>
      </c>
      <c r="F862" s="304">
        <f t="shared" ca="1" si="387"/>
        <v>1.7997382772203292</v>
      </c>
      <c r="G862" s="306">
        <f t="shared" ca="1" si="388"/>
        <v>7.3815212187689525</v>
      </c>
      <c r="H862" s="307">
        <f t="shared" ca="1" si="389"/>
        <v>-131.76848794230656</v>
      </c>
      <c r="I862" s="304">
        <f t="shared" ca="1" si="390"/>
        <v>131.97507821594547</v>
      </c>
      <c r="J862" s="306">
        <f t="shared" ca="1" si="391"/>
        <v>623.87590698103963</v>
      </c>
      <c r="K862" s="307">
        <f t="shared" ca="1" si="392"/>
        <v>270.46407549190883</v>
      </c>
      <c r="L862" s="304">
        <f t="shared" ca="1" si="377"/>
        <v>679.97938457214116</v>
      </c>
      <c r="M862" s="306">
        <f t="shared" ca="1" si="393"/>
        <v>-1.5148359489404524</v>
      </c>
      <c r="N862" s="304">
        <f t="shared" ca="1" si="394"/>
        <v>-86.793706528982995</v>
      </c>
      <c r="P862" s="310">
        <f t="shared" ca="1" si="395"/>
        <v>23</v>
      </c>
      <c r="Q862" s="304">
        <f t="shared" ca="1" si="396"/>
        <v>0</v>
      </c>
      <c r="R862" s="306">
        <f t="shared" ca="1" si="397"/>
        <v>0</v>
      </c>
      <c r="S862" s="307">
        <f t="shared" ca="1" si="398"/>
        <v>10.637999999999975</v>
      </c>
      <c r="T862" s="304">
        <f t="shared" ca="1" si="378"/>
        <v>104.35877999999975</v>
      </c>
      <c r="U862" s="311">
        <f t="shared" ca="1" si="379"/>
        <v>0</v>
      </c>
      <c r="V862" s="306">
        <f t="shared" ca="1" si="380"/>
        <v>1.1923102212910683</v>
      </c>
      <c r="W862" s="304">
        <f t="shared" ca="1" si="381"/>
        <v>86.310018267693536</v>
      </c>
      <c r="Y862" s="314" t="str">
        <f t="shared" ca="1" si="399"/>
        <v/>
      </c>
      <c r="Z862" s="315" t="str">
        <f t="shared" ca="1" si="400"/>
        <v/>
      </c>
      <c r="AA862" s="316" t="str">
        <f t="shared" ca="1" si="401"/>
        <v/>
      </c>
      <c r="AC862" s="310" t="e">
        <f t="shared" ca="1" si="402"/>
        <v>#N/A</v>
      </c>
      <c r="AD862" s="323" t="e">
        <f t="shared" ca="1" si="403"/>
        <v>#N/A</v>
      </c>
      <c r="AE862" s="324" t="e">
        <f t="shared" ca="1" si="382"/>
        <v>#N/A</v>
      </c>
      <c r="AG862" s="306">
        <f t="shared" ca="1" si="404"/>
        <v>1.7127416688728196</v>
      </c>
      <c r="AH862" s="304">
        <f t="shared" ca="1" si="405"/>
        <v>-8.0816713384391168</v>
      </c>
    </row>
    <row r="863" spans="1:34" x14ac:dyDescent="0.25">
      <c r="A863" s="347">
        <f t="shared" ca="1" si="383"/>
        <v>0.1</v>
      </c>
      <c r="B863" s="304">
        <f t="shared" ca="1" si="384"/>
        <v>40.900000000000247</v>
      </c>
      <c r="D863" s="306">
        <f t="shared" ca="1" si="385"/>
        <v>-0.45379025675025814</v>
      </c>
      <c r="E863" s="307">
        <f t="shared" ca="1" si="386"/>
        <v>-1.7093315601543431</v>
      </c>
      <c r="F863" s="304">
        <f t="shared" ca="1" si="387"/>
        <v>1.7685417664452106</v>
      </c>
      <c r="G863" s="306">
        <f t="shared" ca="1" si="388"/>
        <v>7.3361421930939263</v>
      </c>
      <c r="H863" s="307">
        <f t="shared" ca="1" si="389"/>
        <v>-131.93942109832199</v>
      </c>
      <c r="I863" s="304">
        <f t="shared" ca="1" si="390"/>
        <v>132.14321708675641</v>
      </c>
      <c r="J863" s="306">
        <f t="shared" ca="1" si="391"/>
        <v>624.61179015163282</v>
      </c>
      <c r="K863" s="307">
        <f t="shared" ca="1" si="392"/>
        <v>257.27868003987737</v>
      </c>
      <c r="L863" s="304">
        <f t="shared" ca="1" si="377"/>
        <v>675.5236543597041</v>
      </c>
      <c r="M863" s="306">
        <f t="shared" ca="1" si="393"/>
        <v>-1.5152511687726575</v>
      </c>
      <c r="N863" s="304">
        <f t="shared" ca="1" si="394"/>
        <v>-86.817496872938477</v>
      </c>
      <c r="P863" s="310">
        <f t="shared" ca="1" si="395"/>
        <v>23</v>
      </c>
      <c r="Q863" s="304">
        <f t="shared" ca="1" si="396"/>
        <v>0</v>
      </c>
      <c r="R863" s="306">
        <f t="shared" ca="1" si="397"/>
        <v>0</v>
      </c>
      <c r="S863" s="307">
        <f t="shared" ca="1" si="398"/>
        <v>10.637999999999975</v>
      </c>
      <c r="T863" s="304">
        <f t="shared" ca="1" si="378"/>
        <v>104.35877999999975</v>
      </c>
      <c r="U863" s="311">
        <f t="shared" ca="1" si="379"/>
        <v>0</v>
      </c>
      <c r="V863" s="306">
        <f t="shared" ca="1" si="380"/>
        <v>1.1938836404902309</v>
      </c>
      <c r="W863" s="304">
        <f t="shared" ca="1" si="381"/>
        <v>86.644268192117394</v>
      </c>
      <c r="Y863" s="314" t="str">
        <f t="shared" ca="1" si="399"/>
        <v/>
      </c>
      <c r="Z863" s="315" t="str">
        <f t="shared" ca="1" si="400"/>
        <v/>
      </c>
      <c r="AA863" s="316" t="str">
        <f t="shared" ca="1" si="401"/>
        <v/>
      </c>
      <c r="AC863" s="310" t="e">
        <f t="shared" ca="1" si="402"/>
        <v>#N/A</v>
      </c>
      <c r="AD863" s="323" t="e">
        <f t="shared" ca="1" si="403"/>
        <v>#N/A</v>
      </c>
      <c r="AE863" s="324" t="e">
        <f t="shared" ca="1" si="382"/>
        <v>#N/A</v>
      </c>
      <c r="AG863" s="306">
        <f t="shared" ca="1" si="404"/>
        <v>1.6812747956963907</v>
      </c>
      <c r="AH863" s="304">
        <f t="shared" ca="1" si="405"/>
        <v>-8.1133688914921738</v>
      </c>
    </row>
    <row r="864" spans="1:34" x14ac:dyDescent="0.25">
      <c r="A864" s="347">
        <f t="shared" ca="1" si="383"/>
        <v>0.1</v>
      </c>
      <c r="B864" s="304">
        <f t="shared" ca="1" si="384"/>
        <v>41.000000000000249</v>
      </c>
      <c r="D864" s="306">
        <f t="shared" ca="1" si="385"/>
        <v>-0.45217101181532771</v>
      </c>
      <c r="E864" s="307">
        <f t="shared" ca="1" si="386"/>
        <v>-1.6777719207080377</v>
      </c>
      <c r="F864" s="304">
        <f t="shared" ca="1" si="387"/>
        <v>1.7376355319348289</v>
      </c>
      <c r="G864" s="306">
        <f t="shared" ca="1" si="388"/>
        <v>7.2909250919123938</v>
      </c>
      <c r="H864" s="307">
        <f t="shared" ca="1" si="389"/>
        <v>-132.1071982903928</v>
      </c>
      <c r="I864" s="304">
        <f t="shared" ca="1" si="390"/>
        <v>132.30823643610793</v>
      </c>
      <c r="J864" s="306">
        <f t="shared" ca="1" si="391"/>
        <v>625.34314351588318</v>
      </c>
      <c r="K864" s="307">
        <f t="shared" ca="1" si="392"/>
        <v>244.07634907044164</v>
      </c>
      <c r="L864" s="304">
        <f t="shared" ca="1" si="377"/>
        <v>671.28780066219178</v>
      </c>
      <c r="M864" s="306">
        <f t="shared" ca="1" si="393"/>
        <v>-1.5156627968625267</v>
      </c>
      <c r="N864" s="304">
        <f t="shared" ca="1" si="394"/>
        <v>-86.841081425217013</v>
      </c>
      <c r="P864" s="310">
        <f t="shared" ca="1" si="395"/>
        <v>23</v>
      </c>
      <c r="Q864" s="304">
        <f t="shared" ca="1" si="396"/>
        <v>0</v>
      </c>
      <c r="R864" s="306">
        <f t="shared" ca="1" si="397"/>
        <v>0</v>
      </c>
      <c r="S864" s="307">
        <f t="shared" ca="1" si="398"/>
        <v>10.637999999999975</v>
      </c>
      <c r="T864" s="304">
        <f t="shared" ca="1" si="378"/>
        <v>104.35877999999975</v>
      </c>
      <c r="U864" s="311">
        <f t="shared" ca="1" si="379"/>
        <v>0</v>
      </c>
      <c r="V864" s="306">
        <f t="shared" ca="1" si="380"/>
        <v>1.1954611341653019</v>
      </c>
      <c r="W864" s="304">
        <f t="shared" ca="1" si="381"/>
        <v>86.975574882218439</v>
      </c>
      <c r="Y864" s="314" t="str">
        <f t="shared" ca="1" si="399"/>
        <v/>
      </c>
      <c r="Z864" s="315" t="str">
        <f t="shared" ca="1" si="400"/>
        <v/>
      </c>
      <c r="AA864" s="316" t="str">
        <f t="shared" ca="1" si="401"/>
        <v/>
      </c>
      <c r="AC864" s="310">
        <f t="shared" ca="1" si="402"/>
        <v>41.000000000000249</v>
      </c>
      <c r="AD864" s="323">
        <f t="shared" ca="1" si="403"/>
        <v>625.34314351588318</v>
      </c>
      <c r="AE864" s="324" t="e">
        <f t="shared" ca="1" si="382"/>
        <v>#N/A</v>
      </c>
      <c r="AG864" s="306">
        <f t="shared" ca="1" si="404"/>
        <v>1.6500814035109386</v>
      </c>
      <c r="AH864" s="304">
        <f t="shared" ca="1" si="405"/>
        <v>-8.1447892641584509</v>
      </c>
    </row>
    <row r="865" spans="1:34" x14ac:dyDescent="0.25">
      <c r="A865" s="347">
        <f t="shared" ca="1" si="383"/>
        <v>0.1</v>
      </c>
      <c r="B865" s="304">
        <f t="shared" ca="1" si="384"/>
        <v>41.10000000000025</v>
      </c>
      <c r="D865" s="306">
        <f t="shared" ca="1" si="385"/>
        <v>-0.45053971249532959</v>
      </c>
      <c r="E865" s="307">
        <f t="shared" ca="1" si="386"/>
        <v>-1.6464901043434974</v>
      </c>
      <c r="F865" s="304">
        <f t="shared" ca="1" si="387"/>
        <v>1.7070195359855829</v>
      </c>
      <c r="G865" s="306">
        <f t="shared" ca="1" si="388"/>
        <v>7.2458711206628612</v>
      </c>
      <c r="H865" s="307">
        <f t="shared" ca="1" si="389"/>
        <v>-132.27184730082715</v>
      </c>
      <c r="I865" s="304">
        <f t="shared" ca="1" si="390"/>
        <v>132.4701635715401</v>
      </c>
      <c r="J865" s="306">
        <f t="shared" ca="1" si="391"/>
        <v>626.06998332651199</v>
      </c>
      <c r="K865" s="307">
        <f t="shared" ca="1" si="392"/>
        <v>230.85739679088064</v>
      </c>
      <c r="L865" s="304">
        <f t="shared" ca="1" si="377"/>
        <v>667.27712509535434</v>
      </c>
      <c r="M865" s="306">
        <f t="shared" ca="1" si="393"/>
        <v>-1.5160708781704242</v>
      </c>
      <c r="N865" s="304">
        <f t="shared" ca="1" si="394"/>
        <v>-86.864462761857723</v>
      </c>
      <c r="P865" s="310">
        <f t="shared" ca="1" si="395"/>
        <v>23</v>
      </c>
      <c r="Q865" s="304">
        <f t="shared" ca="1" si="396"/>
        <v>0</v>
      </c>
      <c r="R865" s="306">
        <f t="shared" ca="1" si="397"/>
        <v>0</v>
      </c>
      <c r="S865" s="307">
        <f t="shared" ca="1" si="398"/>
        <v>10.637999999999975</v>
      </c>
      <c r="T865" s="304">
        <f t="shared" ca="1" si="378"/>
        <v>104.35877999999975</v>
      </c>
      <c r="U865" s="311">
        <f t="shared" ca="1" si="379"/>
        <v>0</v>
      </c>
      <c r="V865" s="306">
        <f t="shared" ca="1" si="380"/>
        <v>1.1970426766377495</v>
      </c>
      <c r="W865" s="304">
        <f t="shared" ca="1" si="381"/>
        <v>87.303944185430765</v>
      </c>
      <c r="Y865" s="314" t="str">
        <f t="shared" ca="1" si="399"/>
        <v/>
      </c>
      <c r="Z865" s="315" t="str">
        <f t="shared" ca="1" si="400"/>
        <v/>
      </c>
      <c r="AA865" s="316" t="str">
        <f t="shared" ca="1" si="401"/>
        <v/>
      </c>
      <c r="AC865" s="310" t="e">
        <f t="shared" ca="1" si="402"/>
        <v>#N/A</v>
      </c>
      <c r="AD865" s="323" t="e">
        <f t="shared" ca="1" si="403"/>
        <v>#N/A</v>
      </c>
      <c r="AE865" s="324" t="e">
        <f t="shared" ca="1" si="382"/>
        <v>#N/A</v>
      </c>
      <c r="AG865" s="306">
        <f t="shared" ca="1" si="404"/>
        <v>1.6191610528071116</v>
      </c>
      <c r="AH865" s="304">
        <f t="shared" ca="1" si="405"/>
        <v>-8.1759329650515742</v>
      </c>
    </row>
    <row r="866" spans="1:34" x14ac:dyDescent="0.25">
      <c r="A866" s="347">
        <f t="shared" ca="1" si="383"/>
        <v>0.1</v>
      </c>
      <c r="B866" s="304">
        <f t="shared" ca="1" si="384"/>
        <v>41.200000000000252</v>
      </c>
      <c r="D866" s="306">
        <f t="shared" ca="1" si="385"/>
        <v>-0.44889669832390611</v>
      </c>
      <c r="E866" s="307">
        <f t="shared" ca="1" si="386"/>
        <v>-1.6154855591865225</v>
      </c>
      <c r="F866" s="304">
        <f t="shared" ca="1" si="387"/>
        <v>1.6766937220930647</v>
      </c>
      <c r="G866" s="306">
        <f t="shared" ca="1" si="388"/>
        <v>7.2009814508304704</v>
      </c>
      <c r="H866" s="307">
        <f t="shared" ca="1" si="389"/>
        <v>-132.43339585674579</v>
      </c>
      <c r="I866" s="304">
        <f t="shared" ca="1" si="390"/>
        <v>132.62902575230183</v>
      </c>
      <c r="J866" s="306">
        <f t="shared" ca="1" si="391"/>
        <v>626.79232595508665</v>
      </c>
      <c r="K866" s="307">
        <f t="shared" ca="1" si="392"/>
        <v>217.62213463300199</v>
      </c>
      <c r="L866" s="304">
        <f t="shared" ca="1" si="377"/>
        <v>663.49680734605806</v>
      </c>
      <c r="M866" s="306">
        <f t="shared" ca="1" si="393"/>
        <v>-1.5164754568310823</v>
      </c>
      <c r="N866" s="304">
        <f t="shared" ca="1" si="394"/>
        <v>-86.887643411594482</v>
      </c>
      <c r="P866" s="310">
        <f t="shared" ca="1" si="395"/>
        <v>23</v>
      </c>
      <c r="Q866" s="304">
        <f t="shared" ca="1" si="396"/>
        <v>0</v>
      </c>
      <c r="R866" s="306">
        <f t="shared" ca="1" si="397"/>
        <v>0</v>
      </c>
      <c r="S866" s="307">
        <f t="shared" ca="1" si="398"/>
        <v>10.637999999999975</v>
      </c>
      <c r="T866" s="304">
        <f t="shared" ca="1" si="378"/>
        <v>104.35877999999975</v>
      </c>
      <c r="U866" s="311">
        <f t="shared" ca="1" si="379"/>
        <v>0</v>
      </c>
      <c r="V866" s="306">
        <f t="shared" ca="1" si="380"/>
        <v>1.1986282424164254</v>
      </c>
      <c r="W866" s="304">
        <f t="shared" ca="1" si="381"/>
        <v>87.629382375978423</v>
      </c>
      <c r="Y866" s="314" t="str">
        <f t="shared" ca="1" si="399"/>
        <v/>
      </c>
      <c r="Z866" s="315" t="str">
        <f t="shared" ca="1" si="400"/>
        <v/>
      </c>
      <c r="AA866" s="316" t="str">
        <f t="shared" ca="1" si="401"/>
        <v/>
      </c>
      <c r="AC866" s="310" t="e">
        <f t="shared" ca="1" si="402"/>
        <v>#N/A</v>
      </c>
      <c r="AD866" s="323" t="e">
        <f t="shared" ca="1" si="403"/>
        <v>#N/A</v>
      </c>
      <c r="AE866" s="324" t="e">
        <f t="shared" ca="1" si="382"/>
        <v>#N/A</v>
      </c>
      <c r="AG866" s="306">
        <f t="shared" ca="1" si="404"/>
        <v>1.5885132614426247</v>
      </c>
      <c r="AH866" s="304">
        <f t="shared" ca="1" si="405"/>
        <v>-8.2068005438457394</v>
      </c>
    </row>
    <row r="867" spans="1:34" x14ac:dyDescent="0.25">
      <c r="A867" s="347">
        <f t="shared" ca="1" si="383"/>
        <v>0.1</v>
      </c>
      <c r="B867" s="304">
        <f t="shared" ca="1" si="384"/>
        <v>41.300000000000253</v>
      </c>
      <c r="D867" s="306">
        <f t="shared" ca="1" si="385"/>
        <v>-0.44724230544366866</v>
      </c>
      <c r="E867" s="307">
        <f t="shared" ca="1" si="386"/>
        <v>-1.5847576930816505</v>
      </c>
      <c r="F867" s="304">
        <f t="shared" ca="1" si="387"/>
        <v>1.6466580171851235</v>
      </c>
      <c r="G867" s="306">
        <f t="shared" ca="1" si="388"/>
        <v>7.1562572202861032</v>
      </c>
      <c r="H867" s="307">
        <f t="shared" ca="1" si="389"/>
        <v>-132.59187162605394</v>
      </c>
      <c r="I867" s="304">
        <f t="shared" ca="1" si="390"/>
        <v>132.78485018518816</v>
      </c>
      <c r="J867" s="306">
        <f t="shared" ca="1" si="391"/>
        <v>627.51018788864246</v>
      </c>
      <c r="K867" s="307">
        <f t="shared" ca="1" si="392"/>
        <v>204.370871258862</v>
      </c>
      <c r="L867" s="304">
        <f t="shared" ca="1" si="377"/>
        <v>659.95188379392152</v>
      </c>
      <c r="M867" s="306">
        <f t="shared" ca="1" si="393"/>
        <v>-1.5168765761727743</v>
      </c>
      <c r="N867" s="304">
        <f t="shared" ca="1" si="394"/>
        <v>-86.910625856954496</v>
      </c>
      <c r="P867" s="310">
        <f t="shared" ca="1" si="395"/>
        <v>23</v>
      </c>
      <c r="Q867" s="304">
        <f t="shared" ca="1" si="396"/>
        <v>0</v>
      </c>
      <c r="R867" s="306">
        <f t="shared" ca="1" si="397"/>
        <v>0</v>
      </c>
      <c r="S867" s="307">
        <f t="shared" ca="1" si="398"/>
        <v>10.637999999999975</v>
      </c>
      <c r="T867" s="304">
        <f t="shared" ca="1" si="378"/>
        <v>104.35877999999975</v>
      </c>
      <c r="U867" s="311">
        <f t="shared" ca="1" si="379"/>
        <v>0</v>
      </c>
      <c r="V867" s="306">
        <f t="shared" ca="1" si="380"/>
        <v>1.2002178061977431</v>
      </c>
      <c r="W867" s="304">
        <f t="shared" ca="1" si="381"/>
        <v>87.951896144933613</v>
      </c>
      <c r="Y867" s="314" t="str">
        <f t="shared" ca="1" si="399"/>
        <v/>
      </c>
      <c r="Z867" s="315" t="str">
        <f t="shared" ca="1" si="400"/>
        <v/>
      </c>
      <c r="AA867" s="316" t="str">
        <f t="shared" ca="1" si="401"/>
        <v/>
      </c>
      <c r="AC867" s="310" t="e">
        <f t="shared" ca="1" si="402"/>
        <v>#N/A</v>
      </c>
      <c r="AD867" s="323" t="e">
        <f t="shared" ca="1" si="403"/>
        <v>#N/A</v>
      </c>
      <c r="AE867" s="324" t="e">
        <f t="shared" ca="1" si="382"/>
        <v>#N/A</v>
      </c>
      <c r="AG867" s="306">
        <f t="shared" ca="1" si="404"/>
        <v>1.5581375056266094</v>
      </c>
      <c r="AH867" s="304">
        <f t="shared" ca="1" si="405"/>
        <v>-8.2373925903345206</v>
      </c>
    </row>
    <row r="868" spans="1:34" x14ac:dyDescent="0.25">
      <c r="A868" s="347">
        <f t="shared" ca="1" si="383"/>
        <v>0.1</v>
      </c>
      <c r="B868" s="304">
        <f t="shared" ca="1" si="384"/>
        <v>41.400000000000254</v>
      </c>
      <c r="D868" s="306">
        <f t="shared" ca="1" si="385"/>
        <v>-0.44557686658566154</v>
      </c>
      <c r="E868" s="307">
        <f t="shared" ca="1" si="386"/>
        <v>-1.5543058745303906</v>
      </c>
      <c r="F868" s="304">
        <f t="shared" ca="1" si="387"/>
        <v>1.6169123339364997</v>
      </c>
      <c r="G868" s="306">
        <f t="shared" ca="1" si="388"/>
        <v>7.1116995336275375</v>
      </c>
      <c r="H868" s="307">
        <f t="shared" ca="1" si="389"/>
        <v>-132.74730221350697</v>
      </c>
      <c r="I868" s="304">
        <f t="shared" ca="1" si="390"/>
        <v>132.93766402047521</v>
      </c>
      <c r="J868" s="306">
        <f t="shared" ca="1" si="391"/>
        <v>628.22358572633811</v>
      </c>
      <c r="K868" s="307">
        <f t="shared" ca="1" si="392"/>
        <v>191.10391256688396</v>
      </c>
      <c r="L868" s="304">
        <f t="shared" ca="1" si="377"/>
        <v>656.64722573176903</v>
      </c>
      <c r="M868" s="306">
        <f t="shared" ca="1" si="393"/>
        <v>-1.5172742787359659</v>
      </c>
      <c r="N868" s="304">
        <f t="shared" ca="1" si="394"/>
        <v>-86.933412535326909</v>
      </c>
      <c r="P868" s="310">
        <f t="shared" ca="1" si="395"/>
        <v>23</v>
      </c>
      <c r="Q868" s="304">
        <f t="shared" ca="1" si="396"/>
        <v>0</v>
      </c>
      <c r="R868" s="306">
        <f t="shared" ca="1" si="397"/>
        <v>0</v>
      </c>
      <c r="S868" s="307">
        <f t="shared" ca="1" si="398"/>
        <v>10.637999999999975</v>
      </c>
      <c r="T868" s="304">
        <f t="shared" ca="1" si="378"/>
        <v>104.35877999999975</v>
      </c>
      <c r="U868" s="311">
        <f t="shared" ca="1" si="379"/>
        <v>0</v>
      </c>
      <c r="V868" s="306">
        <f t="shared" ca="1" si="380"/>
        <v>1.2018113428658326</v>
      </c>
      <c r="W868" s="304">
        <f t="shared" ca="1" si="381"/>
        <v>88.271492590349879</v>
      </c>
      <c r="Y868" s="314" t="str">
        <f t="shared" ca="1" si="399"/>
        <v/>
      </c>
      <c r="Z868" s="315" t="str">
        <f t="shared" ca="1" si="400"/>
        <v/>
      </c>
      <c r="AA868" s="316" t="str">
        <f t="shared" ca="1" si="401"/>
        <v/>
      </c>
      <c r="AC868" s="310" t="e">
        <f t="shared" ca="1" si="402"/>
        <v>#N/A</v>
      </c>
      <c r="AD868" s="323" t="e">
        <f t="shared" ca="1" si="403"/>
        <v>#N/A</v>
      </c>
      <c r="AE868" s="324" t="e">
        <f t="shared" ca="1" si="382"/>
        <v>#N/A</v>
      </c>
      <c r="AG868" s="306">
        <f t="shared" ca="1" si="404"/>
        <v>1.5280332208959475</v>
      </c>
      <c r="AH868" s="304">
        <f t="shared" ca="1" si="405"/>
        <v>-8.2677097334963161</v>
      </c>
    </row>
    <row r="869" spans="1:34" x14ac:dyDescent="0.25">
      <c r="A869" s="347">
        <f t="shared" ca="1" si="383"/>
        <v>0.1</v>
      </c>
      <c r="B869" s="304">
        <f t="shared" ca="1" si="384"/>
        <v>41.500000000000256</v>
      </c>
      <c r="D869" s="306">
        <f t="shared" ca="1" si="385"/>
        <v>-0.44390071105045809</v>
      </c>
      <c r="E869" s="307">
        <f t="shared" ca="1" si="386"/>
        <v>-1.5241294336223845</v>
      </c>
      <c r="F869" s="304">
        <f t="shared" ca="1" si="387"/>
        <v>1.5874565731714341</v>
      </c>
      <c r="G869" s="306">
        <f t="shared" ca="1" si="388"/>
        <v>7.0673094625224913</v>
      </c>
      <c r="H869" s="307">
        <f t="shared" ca="1" si="389"/>
        <v>-132.89971515686921</v>
      </c>
      <c r="I869" s="304">
        <f t="shared" ca="1" si="390"/>
        <v>133.08749434795152</v>
      </c>
      <c r="J869" s="306">
        <f t="shared" ca="1" si="391"/>
        <v>628.93253617614562</v>
      </c>
      <c r="K869" s="307">
        <f t="shared" ca="1" si="392"/>
        <v>177.82156169836514</v>
      </c>
      <c r="L869" s="304">
        <f t="shared" ca="1" si="377"/>
        <v>653.58751737300202</v>
      </c>
      <c r="M869" s="306">
        <f t="shared" ca="1" si="393"/>
        <v>-1.5176686062914595</v>
      </c>
      <c r="N869" s="304">
        <f t="shared" ca="1" si="394"/>
        <v>-86.956005840002405</v>
      </c>
      <c r="P869" s="310">
        <f t="shared" ca="1" si="395"/>
        <v>23</v>
      </c>
      <c r="Q869" s="304">
        <f t="shared" ca="1" si="396"/>
        <v>0</v>
      </c>
      <c r="R869" s="306">
        <f t="shared" ca="1" si="397"/>
        <v>0</v>
      </c>
      <c r="S869" s="307">
        <f t="shared" ca="1" si="398"/>
        <v>10.637999999999975</v>
      </c>
      <c r="T869" s="304">
        <f t="shared" ca="1" si="378"/>
        <v>104.35877999999975</v>
      </c>
      <c r="U869" s="311">
        <f t="shared" ca="1" si="379"/>
        <v>0</v>
      </c>
      <c r="V869" s="306">
        <f t="shared" ca="1" si="380"/>
        <v>1.203408827492658</v>
      </c>
      <c r="W869" s="304">
        <f t="shared" ca="1" si="381"/>
        <v>88.588179207471327</v>
      </c>
      <c r="Y869" s="314" t="str">
        <f t="shared" ca="1" si="399"/>
        <v/>
      </c>
      <c r="Z869" s="315" t="str">
        <f t="shared" ca="1" si="400"/>
        <v/>
      </c>
      <c r="AA869" s="316" t="str">
        <f t="shared" ca="1" si="401"/>
        <v/>
      </c>
      <c r="AC869" s="310" t="e">
        <f t="shared" ca="1" si="402"/>
        <v>#N/A</v>
      </c>
      <c r="AD869" s="323" t="e">
        <f t="shared" ca="1" si="403"/>
        <v>#N/A</v>
      </c>
      <c r="AE869" s="324" t="e">
        <f t="shared" ca="1" si="382"/>
        <v>#N/A</v>
      </c>
      <c r="AG869" s="306">
        <f t="shared" ca="1" si="404"/>
        <v>1.4981998030832067</v>
      </c>
      <c r="AH869" s="304">
        <f t="shared" ca="1" si="405"/>
        <v>-8.2977526405668431</v>
      </c>
    </row>
    <row r="870" spans="1:34" x14ac:dyDescent="0.25">
      <c r="A870" s="347">
        <f t="shared" ca="1" si="383"/>
        <v>0.1</v>
      </c>
      <c r="B870" s="304">
        <f t="shared" ca="1" si="384"/>
        <v>41.600000000000257</v>
      </c>
      <c r="D870" s="306">
        <f t="shared" ca="1" si="385"/>
        <v>-0.44221416469087305</v>
      </c>
      <c r="E870" s="307">
        <f t="shared" ca="1" si="386"/>
        <v>-1.4942276629594016</v>
      </c>
      <c r="F870" s="304">
        <f t="shared" ca="1" si="387"/>
        <v>1.5582906263615788</v>
      </c>
      <c r="G870" s="306">
        <f t="shared" ca="1" si="388"/>
        <v>7.0230880460534042</v>
      </c>
      <c r="H870" s="307">
        <f t="shared" ca="1" si="389"/>
        <v>-133.04913792316515</v>
      </c>
      <c r="I870" s="304">
        <f t="shared" ca="1" si="390"/>
        <v>133.23436819304561</v>
      </c>
      <c r="J870" s="306">
        <f t="shared" ca="1" si="391"/>
        <v>629.6370560515744</v>
      </c>
      <c r="K870" s="307">
        <f t="shared" ca="1" si="392"/>
        <v>164.52411904436343</v>
      </c>
      <c r="L870" s="304">
        <f t="shared" ca="1" si="377"/>
        <v>650.77723385242757</v>
      </c>
      <c r="M870" s="306">
        <f t="shared" ca="1" si="393"/>
        <v>-1.5180595998580486</v>
      </c>
      <c r="N870" s="304">
        <f t="shared" ca="1" si="394"/>
        <v>-86.978408121184728</v>
      </c>
      <c r="P870" s="310">
        <f t="shared" ca="1" si="395"/>
        <v>23</v>
      </c>
      <c r="Q870" s="304">
        <f t="shared" ca="1" si="396"/>
        <v>0</v>
      </c>
      <c r="R870" s="306">
        <f t="shared" ca="1" si="397"/>
        <v>0</v>
      </c>
      <c r="S870" s="307">
        <f t="shared" ca="1" si="398"/>
        <v>10.637999999999975</v>
      </c>
      <c r="T870" s="304">
        <f t="shared" ca="1" si="378"/>
        <v>104.35877999999975</v>
      </c>
      <c r="U870" s="311">
        <f t="shared" ca="1" si="379"/>
        <v>0</v>
      </c>
      <c r="V870" s="306">
        <f t="shared" ca="1" si="380"/>
        <v>1.2050102353381107</v>
      </c>
      <c r="W870" s="304">
        <f t="shared" ca="1" si="381"/>
        <v>88.901963879021523</v>
      </c>
      <c r="Y870" s="314" t="str">
        <f t="shared" ca="1" si="399"/>
        <v/>
      </c>
      <c r="Z870" s="315" t="str">
        <f t="shared" ca="1" si="400"/>
        <v/>
      </c>
      <c r="AA870" s="316" t="str">
        <f t="shared" ca="1" si="401"/>
        <v/>
      </c>
      <c r="AC870" s="310" t="e">
        <f t="shared" ca="1" si="402"/>
        <v>#N/A</v>
      </c>
      <c r="AD870" s="323" t="e">
        <f t="shared" ca="1" si="403"/>
        <v>#N/A</v>
      </c>
      <c r="AE870" s="324" t="e">
        <f t="shared" ca="1" si="382"/>
        <v>#N/A</v>
      </c>
      <c r="AG870" s="306">
        <f t="shared" ca="1" si="404"/>
        <v>1.4686366092761727</v>
      </c>
      <c r="AH870" s="304">
        <f t="shared" ca="1" si="405"/>
        <v>-8.3275220161187757</v>
      </c>
    </row>
    <row r="871" spans="1:34" x14ac:dyDescent="0.25">
      <c r="A871" s="347">
        <f t="shared" ca="1" si="383"/>
        <v>0.1</v>
      </c>
      <c r="B871" s="304">
        <f t="shared" ca="1" si="384"/>
        <v>41.700000000000259</v>
      </c>
      <c r="D871" s="306">
        <f t="shared" ca="1" si="385"/>
        <v>-0.44051754989624381</v>
      </c>
      <c r="E871" s="307">
        <f t="shared" ca="1" si="386"/>
        <v>-1.4645998185718092</v>
      </c>
      <c r="F871" s="304">
        <f t="shared" ca="1" si="387"/>
        <v>1.5294143782268972</v>
      </c>
      <c r="G871" s="306">
        <f t="shared" ca="1" si="388"/>
        <v>6.97903629106378</v>
      </c>
      <c r="H871" s="307">
        <f t="shared" ca="1" si="389"/>
        <v>-133.19559790502234</v>
      </c>
      <c r="I871" s="304">
        <f t="shared" ca="1" si="390"/>
        <v>133.37831251304829</v>
      </c>
      <c r="J871" s="306">
        <f t="shared" ca="1" si="391"/>
        <v>630.33716226843023</v>
      </c>
      <c r="K871" s="307">
        <f t="shared" ca="1" si="392"/>
        <v>151.21188225295407</v>
      </c>
      <c r="L871" s="304">
        <f t="shared" ca="1" si="377"/>
        <v>648.2206194430247</v>
      </c>
      <c r="M871" s="306">
        <f t="shared" ca="1" si="393"/>
        <v>-1.5184472997196954</v>
      </c>
      <c r="N871" s="304">
        <f t="shared" ca="1" si="394"/>
        <v>-87.000621686974895</v>
      </c>
      <c r="P871" s="310">
        <f t="shared" ca="1" si="395"/>
        <v>23</v>
      </c>
      <c r="Q871" s="304">
        <f t="shared" ca="1" si="396"/>
        <v>0</v>
      </c>
      <c r="R871" s="306">
        <f t="shared" ca="1" si="397"/>
        <v>0</v>
      </c>
      <c r="S871" s="307">
        <f t="shared" ca="1" si="398"/>
        <v>10.637999999999975</v>
      </c>
      <c r="T871" s="304">
        <f t="shared" ca="1" si="378"/>
        <v>104.35877999999975</v>
      </c>
      <c r="U871" s="311">
        <f t="shared" ca="1" si="379"/>
        <v>0</v>
      </c>
      <c r="V871" s="306">
        <f t="shared" ca="1" si="380"/>
        <v>1.2066155418500657</v>
      </c>
      <c r="W871" s="304">
        <f t="shared" ca="1" si="381"/>
        <v>89.212854865573689</v>
      </c>
      <c r="Y871" s="314" t="str">
        <f t="shared" ca="1" si="399"/>
        <v/>
      </c>
      <c r="Z871" s="315" t="str">
        <f t="shared" ca="1" si="400"/>
        <v/>
      </c>
      <c r="AA871" s="316" t="str">
        <f t="shared" ca="1" si="401"/>
        <v/>
      </c>
      <c r="AC871" s="310" t="e">
        <f t="shared" ca="1" si="402"/>
        <v>#N/A</v>
      </c>
      <c r="AD871" s="323" t="e">
        <f t="shared" ca="1" si="403"/>
        <v>#N/A</v>
      </c>
      <c r="AE871" s="324" t="e">
        <f t="shared" ca="1" si="382"/>
        <v>#N/A</v>
      </c>
      <c r="AG871" s="306">
        <f t="shared" ca="1" si="404"/>
        <v>1.4393429587686501</v>
      </c>
      <c r="AH871" s="304">
        <f t="shared" ca="1" si="405"/>
        <v>-8.3570186011488747</v>
      </c>
    </row>
    <row r="872" spans="1:34" x14ac:dyDescent="0.25">
      <c r="A872" s="347">
        <f t="shared" ca="1" si="383"/>
        <v>0.1</v>
      </c>
      <c r="B872" s="304">
        <f t="shared" ca="1" si="384"/>
        <v>41.80000000000026</v>
      </c>
      <c r="D872" s="306">
        <f t="shared" ca="1" si="385"/>
        <v>-0.43881118557826826</v>
      </c>
      <c r="E872" s="307">
        <f t="shared" ca="1" si="386"/>
        <v>-1.4352451208273713</v>
      </c>
      <c r="F872" s="304">
        <f t="shared" ca="1" si="387"/>
        <v>1.5008277094481501</v>
      </c>
      <c r="G872" s="306">
        <f t="shared" ca="1" si="388"/>
        <v>6.9351551725059535</v>
      </c>
      <c r="H872" s="307">
        <f t="shared" ca="1" si="389"/>
        <v>-133.33912241710507</v>
      </c>
      <c r="I872" s="304">
        <f t="shared" ca="1" si="390"/>
        <v>133.51935419342945</v>
      </c>
      <c r="J872" s="306">
        <f t="shared" ca="1" si="391"/>
        <v>631.03287184160877</v>
      </c>
      <c r="K872" s="307">
        <f t="shared" ca="1" si="392"/>
        <v>137.8851462368477</v>
      </c>
      <c r="L872" s="304">
        <f t="shared" ca="1" si="377"/>
        <v>645.92166622387356</v>
      </c>
      <c r="M872" s="306">
        <f t="shared" ca="1" si="393"/>
        <v>-1.5188317454422506</v>
      </c>
      <c r="N872" s="304">
        <f t="shared" ca="1" si="394"/>
        <v>-87.022648804329165</v>
      </c>
      <c r="P872" s="310">
        <f t="shared" ca="1" si="395"/>
        <v>23</v>
      </c>
      <c r="Q872" s="304">
        <f t="shared" ca="1" si="396"/>
        <v>0</v>
      </c>
      <c r="R872" s="306">
        <f t="shared" ca="1" si="397"/>
        <v>0</v>
      </c>
      <c r="S872" s="307">
        <f t="shared" ca="1" si="398"/>
        <v>10.637999999999975</v>
      </c>
      <c r="T872" s="304">
        <f t="shared" ca="1" si="378"/>
        <v>104.35877999999975</v>
      </c>
      <c r="U872" s="311">
        <f t="shared" ca="1" si="379"/>
        <v>0</v>
      </c>
      <c r="V872" s="306">
        <f t="shared" ca="1" si="380"/>
        <v>1.2082247226644154</v>
      </c>
      <c r="W872" s="304">
        <f t="shared" ca="1" si="381"/>
        <v>89.520860796005522</v>
      </c>
      <c r="Y872" s="314" t="str">
        <f t="shared" ca="1" si="399"/>
        <v/>
      </c>
      <c r="Z872" s="315" t="str">
        <f t="shared" ca="1" si="400"/>
        <v/>
      </c>
      <c r="AA872" s="316" t="str">
        <f t="shared" ca="1" si="401"/>
        <v/>
      </c>
      <c r="AC872" s="310" t="e">
        <f t="shared" ca="1" si="402"/>
        <v>#N/A</v>
      </c>
      <c r="AD872" s="323" t="e">
        <f t="shared" ca="1" si="403"/>
        <v>#N/A</v>
      </c>
      <c r="AE872" s="324" t="e">
        <f t="shared" ca="1" si="382"/>
        <v>#N/A</v>
      </c>
      <c r="AG872" s="306">
        <f t="shared" ca="1" si="404"/>
        <v>1.4103181340024076</v>
      </c>
      <c r="AH872" s="304">
        <f t="shared" ca="1" si="405"/>
        <v>-8.386243172172767</v>
      </c>
    </row>
    <row r="873" spans="1:34" x14ac:dyDescent="0.25">
      <c r="A873" s="347">
        <f t="shared" ca="1" si="383"/>
        <v>0.1</v>
      </c>
      <c r="B873" s="304">
        <f t="shared" ca="1" si="384"/>
        <v>41.900000000000261</v>
      </c>
      <c r="D873" s="306">
        <f t="shared" ca="1" si="385"/>
        <v>-0.43709538715833229</v>
      </c>
      <c r="E873" s="307">
        <f t="shared" ca="1" si="386"/>
        <v>-1.4061627553320815</v>
      </c>
      <c r="F873" s="304">
        <f t="shared" ca="1" si="387"/>
        <v>1.4725304995001642</v>
      </c>
      <c r="G873" s="306">
        <f t="shared" ca="1" si="388"/>
        <v>6.89144563379012</v>
      </c>
      <c r="H873" s="307">
        <f t="shared" ca="1" si="389"/>
        <v>-133.47973869263828</v>
      </c>
      <c r="I873" s="304">
        <f t="shared" ca="1" si="390"/>
        <v>133.65752004424772</v>
      </c>
      <c r="J873" s="306">
        <f t="shared" ca="1" si="391"/>
        <v>631.72420188192359</v>
      </c>
      <c r="K873" s="307">
        <f t="shared" ca="1" si="392"/>
        <v>124.54420318136053</v>
      </c>
      <c r="L873" s="304">
        <f t="shared" ca="1" si="377"/>
        <v>643.88409344340334</v>
      </c>
      <c r="M873" s="306">
        <f t="shared" ca="1" si="393"/>
        <v>-1.519212975889725</v>
      </c>
      <c r="N873" s="304">
        <f t="shared" ca="1" si="394"/>
        <v>-87.04449169999134</v>
      </c>
      <c r="P873" s="310">
        <f t="shared" ca="1" si="395"/>
        <v>23</v>
      </c>
      <c r="Q873" s="304">
        <f t="shared" ca="1" si="396"/>
        <v>0</v>
      </c>
      <c r="R873" s="306">
        <f t="shared" ca="1" si="397"/>
        <v>0</v>
      </c>
      <c r="S873" s="307">
        <f t="shared" ca="1" si="398"/>
        <v>10.637999999999975</v>
      </c>
      <c r="T873" s="304">
        <f t="shared" ca="1" si="378"/>
        <v>104.35877999999975</v>
      </c>
      <c r="U873" s="311">
        <f t="shared" ca="1" si="379"/>
        <v>0</v>
      </c>
      <c r="V873" s="306">
        <f t="shared" ca="1" si="380"/>
        <v>1.2098377536050682</v>
      </c>
      <c r="W873" s="304">
        <f t="shared" ca="1" si="381"/>
        <v>89.825990658039416</v>
      </c>
      <c r="Y873" s="314" t="str">
        <f t="shared" ca="1" si="399"/>
        <v/>
      </c>
      <c r="Z873" s="315" t="str">
        <f t="shared" ca="1" si="400"/>
        <v/>
      </c>
      <c r="AA873" s="316" t="str">
        <f t="shared" ca="1" si="401"/>
        <v/>
      </c>
      <c r="AC873" s="310" t="e">
        <f t="shared" ca="1" si="402"/>
        <v>#N/A</v>
      </c>
      <c r="AD873" s="323" t="e">
        <f t="shared" ca="1" si="403"/>
        <v>#N/A</v>
      </c>
      <c r="AE873" s="324" t="e">
        <f t="shared" ca="1" si="382"/>
        <v>#N/A</v>
      </c>
      <c r="AG873" s="306">
        <f t="shared" ca="1" si="404"/>
        <v>1.3815613815000471</v>
      </c>
      <c r="AH873" s="304">
        <f t="shared" ca="1" si="405"/>
        <v>-8.4151965403276687</v>
      </c>
    </row>
    <row r="874" spans="1:34" x14ac:dyDescent="0.25">
      <c r="A874" s="347">
        <f t="shared" ca="1" si="383"/>
        <v>0.1</v>
      </c>
      <c r="B874" s="304">
        <f t="shared" ca="1" si="384"/>
        <v>42.000000000000263</v>
      </c>
      <c r="D874" s="306">
        <f t="shared" ca="1" si="385"/>
        <v>-0.43537046655633344</v>
      </c>
      <c r="E874" s="307">
        <f t="shared" ca="1" si="386"/>
        <v>-1.3773518738229189</v>
      </c>
      <c r="F874" s="304">
        <f t="shared" ca="1" si="387"/>
        <v>1.4445226296160907</v>
      </c>
      <c r="G874" s="306">
        <f t="shared" ca="1" si="388"/>
        <v>6.8479085871344862</v>
      </c>
      <c r="H874" s="307">
        <f t="shared" ca="1" si="389"/>
        <v>-133.61747388002058</v>
      </c>
      <c r="I874" s="304">
        <f t="shared" ca="1" si="390"/>
        <v>133.79283679665267</v>
      </c>
      <c r="J874" s="306">
        <f t="shared" ca="1" si="391"/>
        <v>632.41116959296983</v>
      </c>
      <c r="K874" s="307">
        <f t="shared" ca="1" si="392"/>
        <v>111.18934255272758</v>
      </c>
      <c r="L874" s="304">
        <f t="shared" ca="1" si="377"/>
        <v>642.11132782661286</v>
      </c>
      <c r="M874" s="306">
        <f t="shared" ca="1" si="393"/>
        <v>-1.5195910292401291</v>
      </c>
      <c r="N874" s="304">
        <f t="shared" ca="1" si="394"/>
        <v>-87.066152561400273</v>
      </c>
      <c r="P874" s="310">
        <f t="shared" ca="1" si="395"/>
        <v>23</v>
      </c>
      <c r="Q874" s="304">
        <f t="shared" ca="1" si="396"/>
        <v>0</v>
      </c>
      <c r="R874" s="306">
        <f t="shared" ca="1" si="397"/>
        <v>0</v>
      </c>
      <c r="S874" s="307">
        <f t="shared" ca="1" si="398"/>
        <v>10.637999999999975</v>
      </c>
      <c r="T874" s="304">
        <f t="shared" ca="1" si="378"/>
        <v>104.35877999999975</v>
      </c>
      <c r="U874" s="311">
        <f t="shared" ca="1" si="379"/>
        <v>0</v>
      </c>
      <c r="V874" s="306">
        <f t="shared" ca="1" si="380"/>
        <v>1.2114546106839248</v>
      </c>
      <c r="W874" s="304">
        <f t="shared" ca="1" si="381"/>
        <v>90.128253788871504</v>
      </c>
      <c r="Y874" s="314" t="str">
        <f t="shared" ca="1" si="399"/>
        <v/>
      </c>
      <c r="Z874" s="315" t="str">
        <f t="shared" ca="1" si="400"/>
        <v/>
      </c>
      <c r="AA874" s="316" t="str">
        <f t="shared" ca="1" si="401"/>
        <v/>
      </c>
      <c r="AC874" s="310">
        <f t="shared" ca="1" si="402"/>
        <v>42.000000000000263</v>
      </c>
      <c r="AD874" s="323">
        <f t="shared" ca="1" si="403"/>
        <v>632.41116959296983</v>
      </c>
      <c r="AE874" s="324" t="e">
        <f t="shared" ca="1" si="382"/>
        <v>#N/A</v>
      </c>
      <c r="AG874" s="306">
        <f t="shared" ca="1" si="404"/>
        <v>1.3530719127887263</v>
      </c>
      <c r="AH874" s="304">
        <f t="shared" ca="1" si="405"/>
        <v>-8.443879550483139</v>
      </c>
    </row>
    <row r="875" spans="1:34" x14ac:dyDescent="0.25">
      <c r="A875" s="347">
        <f t="shared" ca="1" si="383"/>
        <v>0.1</v>
      </c>
      <c r="B875" s="304">
        <f t="shared" ca="1" si="384"/>
        <v>42.100000000000264</v>
      </c>
      <c r="D875" s="306">
        <f t="shared" ca="1" si="385"/>
        <v>-0.43363673218094267</v>
      </c>
      <c r="E875" s="307">
        <f t="shared" ca="1" si="386"/>
        <v>-1.3488115950522275</v>
      </c>
      <c r="F875" s="304">
        <f t="shared" ca="1" si="387"/>
        <v>1.4168039858935677</v>
      </c>
      <c r="G875" s="306">
        <f t="shared" ca="1" si="388"/>
        <v>6.8045449139163923</v>
      </c>
      <c r="H875" s="307">
        <f t="shared" ca="1" si="389"/>
        <v>-133.75235503952581</v>
      </c>
      <c r="I875" s="304">
        <f t="shared" ca="1" si="390"/>
        <v>133.92533109947823</v>
      </c>
      <c r="J875" s="306">
        <f t="shared" ca="1" si="391"/>
        <v>633.09379226802241</v>
      </c>
      <c r="K875" s="307">
        <f t="shared" ca="1" si="392"/>
        <v>97.820851106750254</v>
      </c>
      <c r="L875" s="304">
        <f t="shared" ca="1" si="377"/>
        <v>640.60648507453857</v>
      </c>
      <c r="M875" s="306">
        <f t="shared" ca="1" si="393"/>
        <v>-1.5199659430008943</v>
      </c>
      <c r="N875" s="304">
        <f t="shared" ca="1" si="394"/>
        <v>-87.087633537573495</v>
      </c>
      <c r="P875" s="310">
        <f t="shared" ca="1" si="395"/>
        <v>23</v>
      </c>
      <c r="Q875" s="304">
        <f t="shared" ca="1" si="396"/>
        <v>0</v>
      </c>
      <c r="R875" s="306">
        <f t="shared" ca="1" si="397"/>
        <v>0</v>
      </c>
      <c r="S875" s="307">
        <f t="shared" ca="1" si="398"/>
        <v>10.637999999999975</v>
      </c>
      <c r="T875" s="304">
        <f t="shared" ca="1" si="378"/>
        <v>104.35877999999975</v>
      </c>
      <c r="U875" s="311">
        <f t="shared" ca="1" si="379"/>
        <v>0</v>
      </c>
      <c r="V875" s="306">
        <f t="shared" ca="1" si="380"/>
        <v>1.2130752701008209</v>
      </c>
      <c r="W875" s="304">
        <f t="shared" ca="1" si="381"/>
        <v>90.427659865890433</v>
      </c>
      <c r="Y875" s="314" t="str">
        <f t="shared" ca="1" si="399"/>
        <v/>
      </c>
      <c r="Z875" s="315" t="str">
        <f t="shared" ca="1" si="400"/>
        <v/>
      </c>
      <c r="AA875" s="316" t="str">
        <f t="shared" ca="1" si="401"/>
        <v/>
      </c>
      <c r="AC875" s="310" t="e">
        <f t="shared" ca="1" si="402"/>
        <v>#N/A</v>
      </c>
      <c r="AD875" s="323" t="e">
        <f t="shared" ca="1" si="403"/>
        <v>#N/A</v>
      </c>
      <c r="AE875" s="324" t="e">
        <f t="shared" ca="1" si="382"/>
        <v>#N/A</v>
      </c>
      <c r="AG875" s="306">
        <f t="shared" ca="1" si="404"/>
        <v>1.3248489053144592</v>
      </c>
      <c r="AH875" s="304">
        <f t="shared" ca="1" si="405"/>
        <v>-8.4722930803601919</v>
      </c>
    </row>
    <row r="876" spans="1:34" x14ac:dyDescent="0.25">
      <c r="A876" s="347">
        <f t="shared" ca="1" si="383"/>
        <v>0.1</v>
      </c>
      <c r="B876" s="304">
        <f t="shared" ca="1" si="384"/>
        <v>42.200000000000266</v>
      </c>
      <c r="D876" s="306">
        <f t="shared" ca="1" si="385"/>
        <v>-0.43189448892127585</v>
      </c>
      <c r="E876" s="307">
        <f t="shared" ca="1" si="386"/>
        <v>-1.3205410056636531</v>
      </c>
      <c r="F876" s="304">
        <f t="shared" ca="1" si="387"/>
        <v>1.3893744625549089</v>
      </c>
      <c r="G876" s="306">
        <f t="shared" ca="1" si="388"/>
        <v>6.7613554650242644</v>
      </c>
      <c r="H876" s="307">
        <f t="shared" ca="1" si="389"/>
        <v>-133.88440914009217</v>
      </c>
      <c r="I876" s="304">
        <f t="shared" ca="1" si="390"/>
        <v>134.05502951592683</v>
      </c>
      <c r="J876" s="306">
        <f t="shared" ca="1" si="391"/>
        <v>633.77208728696939</v>
      </c>
      <c r="K876" s="307">
        <f t="shared" ca="1" si="392"/>
        <v>84.439012897769345</v>
      </c>
      <c r="L876" s="304">
        <f t="shared" ca="1" si="377"/>
        <v>639.37235279861113</v>
      </c>
      <c r="M876" s="306">
        <f t="shared" ca="1" si="393"/>
        <v>-1.5203377540238858</v>
      </c>
      <c r="N876" s="304">
        <f t="shared" ca="1" si="394"/>
        <v>-87.108936739967348</v>
      </c>
      <c r="P876" s="310">
        <f t="shared" ca="1" si="395"/>
        <v>23</v>
      </c>
      <c r="Q876" s="304">
        <f t="shared" ca="1" si="396"/>
        <v>0</v>
      </c>
      <c r="R876" s="306">
        <f t="shared" ca="1" si="397"/>
        <v>0</v>
      </c>
      <c r="S876" s="307">
        <f t="shared" ca="1" si="398"/>
        <v>10.637999999999975</v>
      </c>
      <c r="T876" s="304">
        <f t="shared" ca="1" si="378"/>
        <v>104.35877999999975</v>
      </c>
      <c r="U876" s="311">
        <f t="shared" ca="1" si="379"/>
        <v>0</v>
      </c>
      <c r="V876" s="306">
        <f t="shared" ca="1" si="380"/>
        <v>1.2146997082434474</v>
      </c>
      <c r="W876" s="304">
        <f t="shared" ca="1" si="381"/>
        <v>90.724218897488996</v>
      </c>
      <c r="Y876" s="314" t="str">
        <f t="shared" ca="1" si="399"/>
        <v/>
      </c>
      <c r="Z876" s="315" t="str">
        <f t="shared" ca="1" si="400"/>
        <v/>
      </c>
      <c r="AA876" s="316" t="str">
        <f t="shared" ca="1" si="401"/>
        <v/>
      </c>
      <c r="AC876" s="310" t="e">
        <f t="shared" ca="1" si="402"/>
        <v>#N/A</v>
      </c>
      <c r="AD876" s="323" t="e">
        <f t="shared" ca="1" si="403"/>
        <v>#N/A</v>
      </c>
      <c r="AE876" s="324" t="e">
        <f t="shared" ca="1" si="382"/>
        <v>#N/A</v>
      </c>
      <c r="AG876" s="306">
        <f t="shared" ca="1" si="404"/>
        <v>1.2968915033469433</v>
      </c>
      <c r="AH876" s="304">
        <f t="shared" ca="1" si="405"/>
        <v>-8.5004380396588317</v>
      </c>
    </row>
    <row r="877" spans="1:34" x14ac:dyDescent="0.25">
      <c r="A877" s="347">
        <f t="shared" ca="1" si="383"/>
        <v>0.1</v>
      </c>
      <c r="B877" s="304">
        <f t="shared" ca="1" si="384"/>
        <v>42.300000000000267</v>
      </c>
      <c r="D877" s="306">
        <f t="shared" ca="1" si="385"/>
        <v>-0.43014403813996188</v>
      </c>
      <c r="E877" s="307">
        <f t="shared" ca="1" si="386"/>
        <v>-1.2925391610592811</v>
      </c>
      <c r="F877" s="304">
        <f t="shared" ca="1" si="387"/>
        <v>1.3622339653742244</v>
      </c>
      <c r="G877" s="306">
        <f t="shared" ca="1" si="388"/>
        <v>6.7183410612102685</v>
      </c>
      <c r="H877" s="307">
        <f t="shared" ca="1" si="389"/>
        <v>-134.01366305619811</v>
      </c>
      <c r="I877" s="304">
        <f t="shared" ca="1" si="390"/>
        <v>134.18195852034259</v>
      </c>
      <c r="J877" s="306">
        <f t="shared" ca="1" si="391"/>
        <v>634.44607211328116</v>
      </c>
      <c r="K877" s="307">
        <f t="shared" ca="1" si="392"/>
        <v>71.044109287954825</v>
      </c>
      <c r="L877" s="304">
        <f t="shared" ca="1" si="377"/>
        <v>638.41137512147259</v>
      </c>
      <c r="M877" s="306">
        <f t="shared" ca="1" si="393"/>
        <v>-1.5207064985200249</v>
      </c>
      <c r="N877" s="304">
        <f t="shared" ca="1" si="394"/>
        <v>-87.130064243314791</v>
      </c>
      <c r="P877" s="310">
        <f t="shared" ca="1" si="395"/>
        <v>23</v>
      </c>
      <c r="Q877" s="304">
        <f t="shared" ca="1" si="396"/>
        <v>0</v>
      </c>
      <c r="R877" s="306">
        <f t="shared" ca="1" si="397"/>
        <v>0</v>
      </c>
      <c r="S877" s="307">
        <f t="shared" ca="1" si="398"/>
        <v>10.637999999999975</v>
      </c>
      <c r="T877" s="304">
        <f t="shared" ca="1" si="378"/>
        <v>104.35877999999975</v>
      </c>
      <c r="U877" s="311">
        <f t="shared" ca="1" si="379"/>
        <v>0</v>
      </c>
      <c r="V877" s="306">
        <f t="shared" ca="1" si="380"/>
        <v>1.2163279016872399</v>
      </c>
      <c r="W877" s="304">
        <f t="shared" ca="1" si="381"/>
        <v>91.017941213968484</v>
      </c>
      <c r="Y877" s="314" t="str">
        <f t="shared" ca="1" si="399"/>
        <v/>
      </c>
      <c r="Z877" s="315" t="str">
        <f t="shared" ca="1" si="400"/>
        <v/>
      </c>
      <c r="AA877" s="316" t="str">
        <f t="shared" ca="1" si="401"/>
        <v/>
      </c>
      <c r="AC877" s="310" t="e">
        <f t="shared" ca="1" si="402"/>
        <v>#N/A</v>
      </c>
      <c r="AD877" s="323" t="e">
        <f t="shared" ca="1" si="403"/>
        <v>#N/A</v>
      </c>
      <c r="AE877" s="324" t="e">
        <f t="shared" ca="1" si="382"/>
        <v>#N/A</v>
      </c>
      <c r="AG877" s="306">
        <f t="shared" ca="1" si="404"/>
        <v>1.2691988188746972</v>
      </c>
      <c r="AH877" s="304">
        <f t="shared" ca="1" si="405"/>
        <v>-8.5283153691943223</v>
      </c>
    </row>
    <row r="878" spans="1:34" x14ac:dyDescent="0.25">
      <c r="A878" s="347">
        <f t="shared" ca="1" si="383"/>
        <v>0.1</v>
      </c>
      <c r="B878" s="304">
        <f t="shared" ca="1" si="384"/>
        <v>42.400000000000269</v>
      </c>
      <c r="D878" s="306">
        <f t="shared" ca="1" si="385"/>
        <v>-0.42838567766753155</v>
      </c>
      <c r="E878" s="307">
        <f t="shared" ca="1" si="386"/>
        <v>-1.2648050862580575</v>
      </c>
      <c r="F878" s="304">
        <f t="shared" ca="1" si="387"/>
        <v>1.3353824152859444</v>
      </c>
      <c r="G878" s="306">
        <f t="shared" ca="1" si="388"/>
        <v>6.6755024934435152</v>
      </c>
      <c r="H878" s="307">
        <f t="shared" ca="1" si="389"/>
        <v>-134.14014356482392</v>
      </c>
      <c r="I878" s="304">
        <f t="shared" ca="1" si="390"/>
        <v>134.30614449507343</v>
      </c>
      <c r="J878" s="306">
        <f t="shared" ca="1" si="391"/>
        <v>635.11576429101387</v>
      </c>
      <c r="K878" s="307">
        <f t="shared" ca="1" si="392"/>
        <v>57.636418956903725</v>
      </c>
      <c r="L878" s="304">
        <f t="shared" ca="1" si="377"/>
        <v>637.72563915929743</v>
      </c>
      <c r="M878" s="306">
        <f t="shared" ca="1" si="393"/>
        <v>-1.5210722120735249</v>
      </c>
      <c r="N878" s="304">
        <f t="shared" ca="1" si="394"/>
        <v>-87.151018086441084</v>
      </c>
      <c r="P878" s="310">
        <f t="shared" ca="1" si="395"/>
        <v>23</v>
      </c>
      <c r="Q878" s="304">
        <f t="shared" ca="1" si="396"/>
        <v>0</v>
      </c>
      <c r="R878" s="306">
        <f t="shared" ca="1" si="397"/>
        <v>0</v>
      </c>
      <c r="S878" s="307">
        <f t="shared" ca="1" si="398"/>
        <v>10.637999999999975</v>
      </c>
      <c r="T878" s="304">
        <f t="shared" ca="1" si="378"/>
        <v>104.35877999999975</v>
      </c>
      <c r="U878" s="311">
        <f t="shared" ca="1" si="379"/>
        <v>0</v>
      </c>
      <c r="V878" s="306">
        <f t="shared" ca="1" si="380"/>
        <v>1.2179598271952448</v>
      </c>
      <c r="W878" s="304">
        <f t="shared" ca="1" si="381"/>
        <v>91.308837458539827</v>
      </c>
      <c r="Y878" s="314" t="str">
        <f t="shared" ca="1" si="399"/>
        <v/>
      </c>
      <c r="Z878" s="315" t="str">
        <f t="shared" ca="1" si="400"/>
        <v/>
      </c>
      <c r="AA878" s="316" t="str">
        <f t="shared" ca="1" si="401"/>
        <v/>
      </c>
      <c r="AC878" s="310" t="e">
        <f t="shared" ca="1" si="402"/>
        <v>#N/A</v>
      </c>
      <c r="AD878" s="323" t="e">
        <f t="shared" ca="1" si="403"/>
        <v>#N/A</v>
      </c>
      <c r="AE878" s="324" t="e">
        <f t="shared" ca="1" si="382"/>
        <v>#N/A</v>
      </c>
      <c r="AG878" s="306">
        <f t="shared" ca="1" si="404"/>
        <v>1.2417699324904685</v>
      </c>
      <c r="AH878" s="304">
        <f t="shared" ca="1" si="405"/>
        <v>-8.5559260400421788</v>
      </c>
    </row>
    <row r="879" spans="1:34" x14ac:dyDescent="0.25">
      <c r="A879" s="347">
        <f t="shared" ca="1" si="383"/>
        <v>0.1</v>
      </c>
      <c r="B879" s="304">
        <f t="shared" ca="1" si="384"/>
        <v>42.50000000000027</v>
      </c>
      <c r="D879" s="306">
        <f t="shared" ca="1" si="385"/>
        <v>-0.42661970179815745</v>
      </c>
      <c r="E879" s="307">
        <f t="shared" ca="1" si="386"/>
        <v>-1.2373377767450684</v>
      </c>
      <c r="F879" s="304">
        <f t="shared" ca="1" si="387"/>
        <v>1.3088197521900322</v>
      </c>
      <c r="G879" s="306">
        <f t="shared" ca="1" si="388"/>
        <v>6.6328405232636998</v>
      </c>
      <c r="H879" s="307">
        <f t="shared" ca="1" si="389"/>
        <v>-134.26387734249843</v>
      </c>
      <c r="I879" s="304">
        <f t="shared" ca="1" si="390"/>
        <v>134.42761372742029</v>
      </c>
      <c r="J879" s="306">
        <f t="shared" ca="1" si="391"/>
        <v>635.78118144184918</v>
      </c>
      <c r="K879" s="307">
        <f t="shared" ca="1" si="392"/>
        <v>44.216217911537612</v>
      </c>
      <c r="L879" s="304">
        <f t="shared" ca="1" si="377"/>
        <v>637.31686357885917</v>
      </c>
      <c r="M879" s="306">
        <f t="shared" ca="1" si="393"/>
        <v>-1.5214349296557592</v>
      </c>
      <c r="N879" s="304">
        <f t="shared" ca="1" si="394"/>
        <v>-87.171800273058295</v>
      </c>
      <c r="P879" s="310">
        <f t="shared" ca="1" si="395"/>
        <v>23</v>
      </c>
      <c r="Q879" s="304">
        <f t="shared" ca="1" si="396"/>
        <v>0</v>
      </c>
      <c r="R879" s="306">
        <f t="shared" ca="1" si="397"/>
        <v>0</v>
      </c>
      <c r="S879" s="307">
        <f t="shared" ca="1" si="398"/>
        <v>10.637999999999975</v>
      </c>
      <c r="T879" s="304">
        <f t="shared" ca="1" si="378"/>
        <v>104.35877999999975</v>
      </c>
      <c r="U879" s="311">
        <f t="shared" ca="1" si="379"/>
        <v>0</v>
      </c>
      <c r="V879" s="306">
        <f t="shared" ca="1" si="380"/>
        <v>1.2195954617179563</v>
      </c>
      <c r="W879" s="304">
        <f t="shared" ca="1" si="381"/>
        <v>91.596918578420571</v>
      </c>
      <c r="Y879" s="314" t="str">
        <f t="shared" ca="1" si="399"/>
        <v/>
      </c>
      <c r="Z879" s="315" t="str">
        <f t="shared" ca="1" si="400"/>
        <v/>
      </c>
      <c r="AA879" s="316" t="str">
        <f t="shared" ca="1" si="401"/>
        <v/>
      </c>
      <c r="AC879" s="310" t="e">
        <f t="shared" ca="1" si="402"/>
        <v>#N/A</v>
      </c>
      <c r="AD879" s="323" t="e">
        <f t="shared" ca="1" si="403"/>
        <v>#N/A</v>
      </c>
      <c r="AE879" s="324" t="e">
        <f t="shared" ca="1" si="382"/>
        <v>#N/A</v>
      </c>
      <c r="AG879" s="306">
        <f t="shared" ca="1" si="404"/>
        <v>1.2146038942666646</v>
      </c>
      <c r="AH879" s="304">
        <f t="shared" ca="1" si="405"/>
        <v>-8.5832710526922398</v>
      </c>
    </row>
    <row r="880" spans="1:34" x14ac:dyDescent="0.25">
      <c r="A880" s="347">
        <f t="shared" ca="1" si="383"/>
        <v>0.1</v>
      </c>
      <c r="B880" s="304">
        <f t="shared" ca="1" si="384"/>
        <v>42.600000000000271</v>
      </c>
      <c r="D880" s="306">
        <f t="shared" ca="1" si="385"/>
        <v>-0.42484640128665668</v>
      </c>
      <c r="E880" s="307">
        <f t="shared" ca="1" si="386"/>
        <v>-1.2101361993117692</v>
      </c>
      <c r="F880" s="304">
        <f t="shared" ca="1" si="387"/>
        <v>1.2825459389709817</v>
      </c>
      <c r="G880" s="306">
        <f t="shared" ca="1" si="388"/>
        <v>6.5903558831350342</v>
      </c>
      <c r="H880" s="307">
        <f t="shared" ca="1" si="389"/>
        <v>-134.38489096242961</v>
      </c>
      <c r="I880" s="304">
        <f t="shared" ca="1" si="390"/>
        <v>134.54639240667314</v>
      </c>
      <c r="J880" s="306">
        <f t="shared" ca="1" si="391"/>
        <v>636.44234126216907</v>
      </c>
      <c r="K880" s="307">
        <f t="shared" ca="1" si="392"/>
        <v>30.78377949629121</v>
      </c>
      <c r="L880" s="304">
        <f t="shared" ca="1" si="377"/>
        <v>637.18638939587174</v>
      </c>
      <c r="M880" s="306">
        <f t="shared" ca="1" si="393"/>
        <v>-1.5217946856387701</v>
      </c>
      <c r="N880" s="304">
        <f t="shared" ca="1" si="394"/>
        <v>-87.192412772539399</v>
      </c>
      <c r="P880" s="310">
        <f t="shared" ca="1" si="395"/>
        <v>23</v>
      </c>
      <c r="Q880" s="304">
        <f t="shared" ca="1" si="396"/>
        <v>0</v>
      </c>
      <c r="R880" s="306">
        <f t="shared" ca="1" si="397"/>
        <v>0</v>
      </c>
      <c r="S880" s="307">
        <f t="shared" ca="1" si="398"/>
        <v>10.637999999999975</v>
      </c>
      <c r="T880" s="304">
        <f t="shared" ca="1" si="378"/>
        <v>104.35877999999975</v>
      </c>
      <c r="U880" s="311">
        <f t="shared" ca="1" si="379"/>
        <v>0</v>
      </c>
      <c r="V880" s="306">
        <f t="shared" ca="1" si="380"/>
        <v>1.2212347823931327</v>
      </c>
      <c r="W880" s="304">
        <f t="shared" ca="1" si="381"/>
        <v>91.882195816031299</v>
      </c>
      <c r="Y880" s="314" t="str">
        <f t="shared" ca="1" si="399"/>
        <v/>
      </c>
      <c r="Z880" s="315" t="str">
        <f t="shared" ca="1" si="400"/>
        <v/>
      </c>
      <c r="AA880" s="316" t="str">
        <f t="shared" ca="1" si="401"/>
        <v/>
      </c>
      <c r="AC880" s="310" t="e">
        <f t="shared" ca="1" si="402"/>
        <v>#N/A</v>
      </c>
      <c r="AD880" s="323" t="e">
        <f t="shared" ca="1" si="403"/>
        <v>#N/A</v>
      </c>
      <c r="AE880" s="324" t="e">
        <f t="shared" ca="1" si="382"/>
        <v>#N/A</v>
      </c>
      <c r="AG880" s="306">
        <f t="shared" ca="1" si="404"/>
        <v>1.1876997246208525</v>
      </c>
      <c r="AH880" s="304">
        <f t="shared" ca="1" si="405"/>
        <v>-8.6103514362117686</v>
      </c>
    </row>
    <row r="881" spans="1:34" x14ac:dyDescent="0.25">
      <c r="A881" s="347">
        <f t="shared" ca="1" si="383"/>
        <v>0.1</v>
      </c>
      <c r="B881" s="304">
        <f t="shared" ca="1" si="384"/>
        <v>42.700000000000273</v>
      </c>
      <c r="D881" s="306">
        <f t="shared" ca="1" si="385"/>
        <v>-0.42306606334674574</v>
      </c>
      <c r="E881" s="307">
        <f t="shared" ca="1" si="386"/>
        <v>-1.1831992928868402</v>
      </c>
      <c r="F881" s="304">
        <f t="shared" ca="1" si="387"/>
        <v>1.2565609657488297</v>
      </c>
      <c r="G881" s="306">
        <f t="shared" ca="1" si="388"/>
        <v>6.5480492768003593</v>
      </c>
      <c r="H881" s="307">
        <f t="shared" ca="1" si="389"/>
        <v>-134.50321089171828</v>
      </c>
      <c r="I881" s="304">
        <f t="shared" ca="1" si="390"/>
        <v>134.66250662123238</v>
      </c>
      <c r="J881" s="306">
        <f t="shared" ca="1" si="391"/>
        <v>637.09926152016578</v>
      </c>
      <c r="K881" s="307">
        <f t="shared" ca="1" si="392"/>
        <v>17.339374403583818</v>
      </c>
      <c r="L881" s="304">
        <f t="shared" ca="1" si="377"/>
        <v>637.33517315008453</v>
      </c>
      <c r="M881" s="306">
        <f t="shared" ca="1" si="393"/>
        <v>-1.5221515138084267</v>
      </c>
      <c r="N881" s="304">
        <f t="shared" ca="1" si="394"/>
        <v>-87.212857520672102</v>
      </c>
      <c r="P881" s="310">
        <f t="shared" ca="1" si="395"/>
        <v>23</v>
      </c>
      <c r="Q881" s="304">
        <f t="shared" ca="1" si="396"/>
        <v>0</v>
      </c>
      <c r="R881" s="306">
        <f t="shared" ca="1" si="397"/>
        <v>0</v>
      </c>
      <c r="S881" s="307">
        <f t="shared" ca="1" si="398"/>
        <v>10.637999999999975</v>
      </c>
      <c r="T881" s="304">
        <f t="shared" ca="1" si="378"/>
        <v>104.35877999999975</v>
      </c>
      <c r="U881" s="311">
        <f t="shared" ca="1" si="379"/>
        <v>0</v>
      </c>
      <c r="V881" s="306">
        <f t="shared" ca="1" si="380"/>
        <v>1.2228777665455832</v>
      </c>
      <c r="W881" s="304">
        <f t="shared" ca="1" si="381"/>
        <v>92.164680700291754</v>
      </c>
      <c r="Y881" s="314" t="str">
        <f t="shared" ca="1" si="399"/>
        <v/>
      </c>
      <c r="Z881" s="315" t="str">
        <f t="shared" ca="1" si="400"/>
        <v/>
      </c>
      <c r="AA881" s="316" t="str">
        <f t="shared" ca="1" si="401"/>
        <v/>
      </c>
      <c r="AC881" s="310" t="e">
        <f t="shared" ca="1" si="402"/>
        <v>#N/A</v>
      </c>
      <c r="AD881" s="323" t="e">
        <f t="shared" ca="1" si="403"/>
        <v>#N/A</v>
      </c>
      <c r="AE881" s="324" t="e">
        <f t="shared" ca="1" si="382"/>
        <v>#N/A</v>
      </c>
      <c r="AG881" s="306">
        <f t="shared" ca="1" si="404"/>
        <v>1.1610564151710534</v>
      </c>
      <c r="AH881" s="304">
        <f t="shared" ca="1" si="405"/>
        <v>-8.6371682474178897</v>
      </c>
    </row>
    <row r="882" spans="1:34" x14ac:dyDescent="0.25">
      <c r="A882" s="347">
        <f t="shared" ca="1" si="383"/>
        <v>0.1</v>
      </c>
      <c r="B882" s="304">
        <f t="shared" ca="1" si="384"/>
        <v>42.800000000000274</v>
      </c>
      <c r="D882" s="306">
        <f t="shared" ca="1" si="385"/>
        <v>-0.42127897165053679</v>
      </c>
      <c r="E882" s="307">
        <f t="shared" ca="1" si="386"/>
        <v>-1.1565259693576326</v>
      </c>
      <c r="F882" s="304">
        <f t="shared" ca="1" si="387"/>
        <v>1.2308648543822938</v>
      </c>
      <c r="G882" s="306">
        <f t="shared" ca="1" si="388"/>
        <v>6.5059213796353053</v>
      </c>
      <c r="H882" s="307">
        <f t="shared" ca="1" si="389"/>
        <v>-134.61886348865406</v>
      </c>
      <c r="I882" s="304">
        <f t="shared" ca="1" si="390"/>
        <v>134.7759823558147</v>
      </c>
      <c r="J882" s="306">
        <f t="shared" ca="1" si="391"/>
        <v>637.75196005298756</v>
      </c>
      <c r="K882" s="307">
        <f t="shared" ca="1" si="392"/>
        <v>3.8832706845652005</v>
      </c>
      <c r="L882" s="304">
        <f t="shared" ca="1" si="377"/>
        <v>637.7637825579601</v>
      </c>
      <c r="M882" s="306">
        <f t="shared" ca="1" si="393"/>
        <v>-1.5225054473772459</v>
      </c>
      <c r="N882" s="304">
        <f t="shared" ca="1" si="394"/>
        <v>-87.23313642039345</v>
      </c>
      <c r="P882" s="310">
        <f t="shared" ca="1" si="395"/>
        <v>23</v>
      </c>
      <c r="Q882" s="304">
        <f t="shared" ca="1" si="396"/>
        <v>0</v>
      </c>
      <c r="R882" s="306">
        <f t="shared" ca="1" si="397"/>
        <v>0</v>
      </c>
      <c r="S882" s="307">
        <f t="shared" ca="1" si="398"/>
        <v>10.637999999999975</v>
      </c>
      <c r="T882" s="304">
        <f t="shared" ca="1" si="378"/>
        <v>104.35877999999975</v>
      </c>
      <c r="U882" s="311">
        <f t="shared" ca="1" si="379"/>
        <v>0</v>
      </c>
      <c r="V882" s="306">
        <f t="shared" ca="1" si="380"/>
        <v>1.2245243916869319</v>
      </c>
      <c r="W882" s="304">
        <f t="shared" ca="1" si="381"/>
        <v>92.444385038017657</v>
      </c>
      <c r="Y882" s="314" t="str">
        <f t="shared" ca="1" si="399"/>
        <v/>
      </c>
      <c r="Z882" s="315" t="str">
        <f t="shared" ca="1" si="400"/>
        <v/>
      </c>
      <c r="AA882" s="316" t="str">
        <f t="shared" ca="1" si="401"/>
        <v/>
      </c>
      <c r="AC882" s="310" t="e">
        <f t="shared" ca="1" si="402"/>
        <v>#N/A</v>
      </c>
      <c r="AD882" s="323" t="e">
        <f t="shared" ca="1" si="403"/>
        <v>#N/A</v>
      </c>
      <c r="AE882" s="324" t="e">
        <f t="shared" ca="1" si="382"/>
        <v>#N/A</v>
      </c>
      <c r="AG882" s="306">
        <f t="shared" ca="1" si="404"/>
        <v>1.1346729295808267</v>
      </c>
      <c r="AH882" s="304">
        <f t="shared" ca="1" si="405"/>
        <v>-8.6637225700594076</v>
      </c>
    </row>
    <row r="883" spans="1:34" x14ac:dyDescent="0.25">
      <c r="A883" s="347">
        <f t="shared" ca="1" si="383"/>
        <v>0.1</v>
      </c>
      <c r="B883" s="304">
        <f t="shared" ca="1" si="384"/>
        <v>42.900000000000276</v>
      </c>
      <c r="D883" s="306">
        <f t="shared" ca="1" si="385"/>
        <v>-0.41948540632921272</v>
      </c>
      <c r="E883" s="307">
        <f t="shared" ca="1" si="386"/>
        <v>-1.1301151143821162</v>
      </c>
      <c r="F883" s="304">
        <f t="shared" ca="1" si="387"/>
        <v>1.2054576632458265</v>
      </c>
      <c r="G883" s="306">
        <f t="shared" ca="1" si="388"/>
        <v>6.4639728390023841</v>
      </c>
      <c r="H883" s="307">
        <f t="shared" ca="1" si="389"/>
        <v>-134.73187500009226</v>
      </c>
      <c r="I883" s="304">
        <f t="shared" ca="1" si="390"/>
        <v>134.88684548874232</v>
      </c>
      <c r="J883" s="306">
        <f t="shared" ca="1" si="391"/>
        <v>638.40045476391947</v>
      </c>
      <c r="K883" s="307">
        <f t="shared" ca="1" si="392"/>
        <v>-9.5842662398721146</v>
      </c>
      <c r="L883" s="304">
        <f t="shared" ca="1" si="377"/>
        <v>638.47239470640852</v>
      </c>
      <c r="M883" s="306">
        <f t="shared" ca="1" si="393"/>
        <v>-1.5228565189968859</v>
      </c>
      <c r="N883" s="304">
        <f t="shared" ca="1" si="394"/>
        <v>-87.253251342505635</v>
      </c>
      <c r="P883" s="310">
        <f t="shared" ca="1" si="395"/>
        <v>23</v>
      </c>
      <c r="Q883" s="304">
        <f t="shared" ca="1" si="396"/>
        <v>0</v>
      </c>
      <c r="R883" s="306">
        <f t="shared" ca="1" si="397"/>
        <v>0</v>
      </c>
      <c r="S883" s="307">
        <f t="shared" ca="1" si="398"/>
        <v>10.637999999999975</v>
      </c>
      <c r="T883" s="304">
        <f t="shared" ca="1" si="378"/>
        <v>104.35877999999975</v>
      </c>
      <c r="U883" s="311">
        <f t="shared" ca="1" si="379"/>
        <v>0</v>
      </c>
      <c r="V883" s="306">
        <f t="shared" ca="1" si="380"/>
        <v>1.2261746355153602</v>
      </c>
      <c r="W883" s="304">
        <f t="shared" ca="1" si="381"/>
        <v>92.721320905420583</v>
      </c>
      <c r="Y883" s="314" t="str">
        <f t="shared" ca="1" si="399"/>
        <v>Impact balistique</v>
      </c>
      <c r="Z883" s="315" t="str">
        <f t="shared" ca="1" si="400"/>
        <v/>
      </c>
      <c r="AA883" s="316" t="str">
        <f t="shared" ca="1" si="401"/>
        <v/>
      </c>
      <c r="AC883" s="310" t="e">
        <f t="shared" ca="1" si="402"/>
        <v>#N/A</v>
      </c>
      <c r="AD883" s="323" t="e">
        <f t="shared" ca="1" si="403"/>
        <v>#N/A</v>
      </c>
      <c r="AE883" s="324" t="e">
        <f t="shared" ca="1" si="382"/>
        <v>#N/A</v>
      </c>
      <c r="AG883" s="306">
        <f t="shared" ca="1" si="404"/>
        <v>1.1085482043940935</v>
      </c>
      <c r="AH883" s="304">
        <f t="shared" ca="1" si="405"/>
        <v>-8.6900155140080724</v>
      </c>
    </row>
    <row r="884" spans="1:34" x14ac:dyDescent="0.25">
      <c r="A884" s="347">
        <f t="shared" ca="1" si="383"/>
        <v>1E-4</v>
      </c>
      <c r="B884" s="304">
        <f t="shared" ca="1" si="384"/>
        <v>42.900100000000279</v>
      </c>
      <c r="D884" s="306">
        <f t="shared" ca="1" si="385"/>
        <v>-0.41768564397485258</v>
      </c>
      <c r="E884" s="307">
        <f t="shared" ca="1" si="386"/>
        <v>-1.1039655881910857</v>
      </c>
      <c r="F884" s="304">
        <f t="shared" ca="1" si="387"/>
        <v>1.1803394923041324</v>
      </c>
      <c r="G884" s="306">
        <f t="shared" ca="1" si="388"/>
        <v>6.4639310704379866</v>
      </c>
      <c r="H884" s="307">
        <f t="shared" ca="1" si="389"/>
        <v>-134.73198539665108</v>
      </c>
      <c r="I884" s="304">
        <f t="shared" ca="1" si="390"/>
        <v>134.88695375686549</v>
      </c>
      <c r="J884" s="306">
        <f t="shared" ca="1" si="391"/>
        <v>638.40045476391947</v>
      </c>
      <c r="K884" s="307">
        <f t="shared" ca="1" si="392"/>
        <v>-9.5977394328919523</v>
      </c>
      <c r="L884" s="304">
        <f t="shared" ca="1" si="377"/>
        <v>638.47259709794969</v>
      </c>
      <c r="M884" s="306">
        <f t="shared" ca="1" si="393"/>
        <v>-1.522856867517913</v>
      </c>
      <c r="N884" s="304">
        <f t="shared" ca="1" si="394"/>
        <v>-87.253271311289566</v>
      </c>
      <c r="P884" s="310">
        <f t="shared" ca="1" si="395"/>
        <v>23</v>
      </c>
      <c r="Q884" s="304">
        <f t="shared" ca="1" si="396"/>
        <v>0</v>
      </c>
      <c r="R884" s="306">
        <f t="shared" ca="1" si="397"/>
        <v>0</v>
      </c>
      <c r="S884" s="307">
        <f t="shared" ca="1" si="398"/>
        <v>10.637999999999975</v>
      </c>
      <c r="T884" s="304">
        <f t="shared" ca="1" si="378"/>
        <v>104.35877999999975</v>
      </c>
      <c r="U884" s="311">
        <f t="shared" ca="1" si="379"/>
        <v>0</v>
      </c>
      <c r="V884" s="306">
        <f t="shared" ca="1" si="380"/>
        <v>1.226176287565607</v>
      </c>
      <c r="W884" s="304">
        <f t="shared" ca="1" si="381"/>
        <v>92.721594678200717</v>
      </c>
      <c r="Y884" s="314" t="str">
        <f t="shared" ca="1" si="399"/>
        <v/>
      </c>
      <c r="Z884" s="315" t="str">
        <f t="shared" ca="1" si="400"/>
        <v/>
      </c>
      <c r="AA884" s="316" t="str">
        <f t="shared" ca="1" si="401"/>
        <v/>
      </c>
      <c r="AC884" s="310" t="e">
        <f t="shared" ca="1" si="402"/>
        <v>#N/A</v>
      </c>
      <c r="AD884" s="323" t="e">
        <f t="shared" ca="1" si="403"/>
        <v>#N/A</v>
      </c>
      <c r="AE884" s="324" t="e">
        <f t="shared" ca="1" si="382"/>
        <v>#N/A</v>
      </c>
      <c r="AG884" s="306">
        <f t="shared" ca="1" si="404"/>
        <v>1.0826811498594822</v>
      </c>
      <c r="AH884" s="304">
        <f t="shared" ca="1" si="405"/>
        <v>-8.7160482144595601</v>
      </c>
    </row>
    <row r="885" spans="1:34" x14ac:dyDescent="0.25">
      <c r="A885" s="347">
        <f t="shared" ca="1" si="383"/>
        <v>1E-4</v>
      </c>
      <c r="B885" s="304">
        <f t="shared" ca="1" si="384"/>
        <v>42.900200000000282</v>
      </c>
      <c r="D885" s="306">
        <f t="shared" ca="1" si="385"/>
        <v>-0.41768384300559919</v>
      </c>
      <c r="E885" s="307">
        <f t="shared" ca="1" si="386"/>
        <v>-1.1039397368241968</v>
      </c>
      <c r="F885" s="304">
        <f t="shared" ca="1" si="387"/>
        <v>1.1803146763670282</v>
      </c>
      <c r="G885" s="306">
        <f t="shared" ca="1" si="388"/>
        <v>6.4638893020536861</v>
      </c>
      <c r="H885" s="307">
        <f t="shared" ca="1" si="389"/>
        <v>-134.73209579062475</v>
      </c>
      <c r="I885" s="304">
        <f t="shared" ca="1" si="390"/>
        <v>134.88706202243151</v>
      </c>
      <c r="J885" s="306">
        <f t="shared" ca="1" si="391"/>
        <v>638.40045476391947</v>
      </c>
      <c r="K885" s="307">
        <f t="shared" ca="1" si="392"/>
        <v>-9.6112126369513167</v>
      </c>
      <c r="L885" s="304">
        <f t="shared" ca="1" si="377"/>
        <v>638.47279977390724</v>
      </c>
      <c r="M885" s="306">
        <f t="shared" ca="1" si="393"/>
        <v>-1.5228572160361284</v>
      </c>
      <c r="N885" s="304">
        <f t="shared" ca="1" si="394"/>
        <v>-87.253291279912389</v>
      </c>
      <c r="P885" s="310">
        <f t="shared" ca="1" si="395"/>
        <v>23</v>
      </c>
      <c r="Q885" s="304">
        <f t="shared" ca="1" si="396"/>
        <v>0</v>
      </c>
      <c r="R885" s="306">
        <f t="shared" ca="1" si="397"/>
        <v>0</v>
      </c>
      <c r="S885" s="307">
        <f t="shared" ca="1" si="398"/>
        <v>10.637999999999975</v>
      </c>
      <c r="T885" s="304">
        <f t="shared" ca="1" si="378"/>
        <v>104.35877999999975</v>
      </c>
      <c r="U885" s="311">
        <f t="shared" ca="1" si="379"/>
        <v>0</v>
      </c>
      <c r="V885" s="306">
        <f t="shared" ca="1" si="380"/>
        <v>1.2261779396194343</v>
      </c>
      <c r="W885" s="304">
        <f t="shared" ca="1" si="381"/>
        <v>92.721868448256558</v>
      </c>
      <c r="Y885" s="314" t="str">
        <f t="shared" ca="1" si="399"/>
        <v/>
      </c>
      <c r="Z885" s="315" t="str">
        <f t="shared" ca="1" si="400"/>
        <v/>
      </c>
      <c r="AA885" s="316" t="str">
        <f t="shared" ca="1" si="401"/>
        <v/>
      </c>
      <c r="AC885" s="310" t="e">
        <f t="shared" ca="1" si="402"/>
        <v>#N/A</v>
      </c>
      <c r="AD885" s="323" t="e">
        <f t="shared" ca="1" si="403"/>
        <v>#N/A</v>
      </c>
      <c r="AE885" s="324" t="e">
        <f t="shared" ca="1" si="382"/>
        <v>#N/A</v>
      </c>
      <c r="AG885" s="306">
        <f t="shared" ca="1" si="404"/>
        <v>1.0826555783399741</v>
      </c>
      <c r="AH885" s="304">
        <f t="shared" ca="1" si="405"/>
        <v>-8.7160739498214834</v>
      </c>
    </row>
    <row r="886" spans="1:34" x14ac:dyDescent="0.25">
      <c r="A886" s="347">
        <f t="shared" ca="1" si="383"/>
        <v>1E-4</v>
      </c>
      <c r="B886" s="304">
        <f t="shared" ca="1" si="384"/>
        <v>42.900300000000286</v>
      </c>
      <c r="D886" s="306">
        <f t="shared" ca="1" si="385"/>
        <v>-0.41768204203058429</v>
      </c>
      <c r="E886" s="307">
        <f t="shared" ca="1" si="386"/>
        <v>-1.1039138857144781</v>
      </c>
      <c r="F886" s="304">
        <f t="shared" ca="1" si="387"/>
        <v>1.1802898607156111</v>
      </c>
      <c r="G886" s="306">
        <f t="shared" ca="1" si="388"/>
        <v>6.4638475338494832</v>
      </c>
      <c r="H886" s="307">
        <f t="shared" ca="1" si="389"/>
        <v>-134.73220618201333</v>
      </c>
      <c r="I886" s="304">
        <f t="shared" ca="1" si="390"/>
        <v>134.88717028544045</v>
      </c>
      <c r="J886" s="306">
        <f t="shared" ca="1" si="391"/>
        <v>638.40045476391947</v>
      </c>
      <c r="K886" s="307">
        <f t="shared" ca="1" si="392"/>
        <v>-9.6246858520499483</v>
      </c>
      <c r="L886" s="304">
        <f t="shared" ca="1" si="377"/>
        <v>638.47300273428152</v>
      </c>
      <c r="M886" s="306">
        <f t="shared" ca="1" si="393"/>
        <v>-1.5228575645515325</v>
      </c>
      <c r="N886" s="304">
        <f t="shared" ca="1" si="394"/>
        <v>-87.253311248374132</v>
      </c>
      <c r="P886" s="310">
        <f t="shared" ca="1" si="395"/>
        <v>23</v>
      </c>
      <c r="Q886" s="304">
        <f t="shared" ca="1" si="396"/>
        <v>0</v>
      </c>
      <c r="R886" s="306">
        <f t="shared" ca="1" si="397"/>
        <v>0</v>
      </c>
      <c r="S886" s="307">
        <f t="shared" ca="1" si="398"/>
        <v>10.637999999999975</v>
      </c>
      <c r="T886" s="304">
        <f t="shared" ca="1" si="378"/>
        <v>104.35877999999975</v>
      </c>
      <c r="U886" s="311">
        <f t="shared" ca="1" si="379"/>
        <v>0</v>
      </c>
      <c r="V886" s="306">
        <f t="shared" ca="1" si="380"/>
        <v>1.2261795916768425</v>
      </c>
      <c r="W886" s="304">
        <f t="shared" ca="1" si="381"/>
        <v>92.722142215588221</v>
      </c>
      <c r="Y886" s="314" t="str">
        <f t="shared" ca="1" si="399"/>
        <v/>
      </c>
      <c r="Z886" s="315" t="str">
        <f t="shared" ca="1" si="400"/>
        <v/>
      </c>
      <c r="AA886" s="316" t="str">
        <f t="shared" ca="1" si="401"/>
        <v/>
      </c>
      <c r="AC886" s="310" t="e">
        <f t="shared" ca="1" si="402"/>
        <v>#N/A</v>
      </c>
      <c r="AD886" s="323" t="e">
        <f t="shared" ca="1" si="403"/>
        <v>#N/A</v>
      </c>
      <c r="AE886" s="324" t="e">
        <f t="shared" ca="1" si="382"/>
        <v>#N/A</v>
      </c>
      <c r="AG886" s="306">
        <f t="shared" ca="1" si="404"/>
        <v>1.0826300070740462</v>
      </c>
      <c r="AH886" s="304">
        <f t="shared" ca="1" si="405"/>
        <v>-8.7160996849273147</v>
      </c>
    </row>
    <row r="887" spans="1:34" x14ac:dyDescent="0.25">
      <c r="A887" s="347">
        <f t="shared" ca="1" si="383"/>
        <v>1E-4</v>
      </c>
      <c r="B887" s="304">
        <f t="shared" ca="1" si="384"/>
        <v>42.900400000000289</v>
      </c>
      <c r="D887" s="306">
        <f t="shared" ca="1" si="385"/>
        <v>-0.41768024104980506</v>
      </c>
      <c r="E887" s="307">
        <f t="shared" ca="1" si="386"/>
        <v>-1.1038880348619156</v>
      </c>
      <c r="F887" s="304">
        <f t="shared" ca="1" si="387"/>
        <v>1.1802650453498675</v>
      </c>
      <c r="G887" s="306">
        <f t="shared" ca="1" si="388"/>
        <v>6.463805765825378</v>
      </c>
      <c r="H887" s="307">
        <f t="shared" ca="1" si="389"/>
        <v>-134.73231657081681</v>
      </c>
      <c r="I887" s="304">
        <f t="shared" ca="1" si="390"/>
        <v>134.8872785458922</v>
      </c>
      <c r="J887" s="306">
        <f t="shared" ca="1" si="391"/>
        <v>638.40045476391947</v>
      </c>
      <c r="K887" s="307">
        <f t="shared" ca="1" si="392"/>
        <v>-9.6381590781875897</v>
      </c>
      <c r="L887" s="304">
        <f t="shared" ca="1" si="377"/>
        <v>638.47320597907287</v>
      </c>
      <c r="M887" s="306">
        <f t="shared" ca="1" si="393"/>
        <v>-1.5228579130641253</v>
      </c>
      <c r="N887" s="304">
        <f t="shared" ca="1" si="394"/>
        <v>-87.253331216674809</v>
      </c>
      <c r="P887" s="310">
        <f t="shared" ca="1" si="395"/>
        <v>23</v>
      </c>
      <c r="Q887" s="304">
        <f t="shared" ca="1" si="396"/>
        <v>0</v>
      </c>
      <c r="R887" s="306">
        <f t="shared" ca="1" si="397"/>
        <v>0</v>
      </c>
      <c r="S887" s="307">
        <f t="shared" ca="1" si="398"/>
        <v>10.637999999999975</v>
      </c>
      <c r="T887" s="304">
        <f t="shared" ca="1" si="378"/>
        <v>104.35877999999975</v>
      </c>
      <c r="U887" s="311">
        <f t="shared" ca="1" si="379"/>
        <v>0</v>
      </c>
      <c r="V887" s="306">
        <f t="shared" ca="1" si="380"/>
        <v>1.226181243737831</v>
      </c>
      <c r="W887" s="304">
        <f t="shared" ca="1" si="381"/>
        <v>92.722415980195521</v>
      </c>
      <c r="Y887" s="314" t="str">
        <f t="shared" ca="1" si="399"/>
        <v/>
      </c>
      <c r="Z887" s="315" t="str">
        <f t="shared" ca="1" si="400"/>
        <v/>
      </c>
      <c r="AA887" s="316" t="str">
        <f t="shared" ca="1" si="401"/>
        <v/>
      </c>
      <c r="AC887" s="310" t="e">
        <f t="shared" ca="1" si="402"/>
        <v>#N/A</v>
      </c>
      <c r="AD887" s="323" t="e">
        <f t="shared" ca="1" si="403"/>
        <v>#N/A</v>
      </c>
      <c r="AE887" s="324" t="e">
        <f t="shared" ca="1" si="382"/>
        <v>#N/A</v>
      </c>
      <c r="AG887" s="306">
        <f t="shared" ca="1" si="404"/>
        <v>1.0826044360616862</v>
      </c>
      <c r="AH887" s="304">
        <f t="shared" ca="1" si="405"/>
        <v>-8.7161254197770663</v>
      </c>
    </row>
    <row r="888" spans="1:34" x14ac:dyDescent="0.25">
      <c r="A888" s="347">
        <f t="shared" ca="1" si="383"/>
        <v>1E-4</v>
      </c>
      <c r="B888" s="304">
        <f t="shared" ca="1" si="384"/>
        <v>42.900500000000292</v>
      </c>
      <c r="D888" s="306">
        <f t="shared" ca="1" si="385"/>
        <v>-0.41767844006326127</v>
      </c>
      <c r="E888" s="307">
        <f t="shared" ca="1" si="386"/>
        <v>-1.1038621842665286</v>
      </c>
      <c r="F888" s="304">
        <f t="shared" ca="1" si="387"/>
        <v>1.1802402302698172</v>
      </c>
      <c r="G888" s="306">
        <f t="shared" ca="1" si="388"/>
        <v>6.4637639979813715</v>
      </c>
      <c r="H888" s="307">
        <f t="shared" ca="1" si="389"/>
        <v>-134.73242695703524</v>
      </c>
      <c r="I888" s="304">
        <f t="shared" ca="1" si="390"/>
        <v>134.88738680378694</v>
      </c>
      <c r="J888" s="306">
        <f t="shared" ca="1" si="391"/>
        <v>638.40045476391947</v>
      </c>
      <c r="K888" s="307">
        <f t="shared" ca="1" si="392"/>
        <v>-9.6516323153639831</v>
      </c>
      <c r="L888" s="304">
        <f t="shared" ca="1" si="377"/>
        <v>638.47340950828186</v>
      </c>
      <c r="M888" s="306">
        <f t="shared" ca="1" si="393"/>
        <v>-1.5228582615739064</v>
      </c>
      <c r="N888" s="304">
        <f t="shared" ca="1" si="394"/>
        <v>-87.253351184814392</v>
      </c>
      <c r="P888" s="310">
        <f t="shared" ca="1" si="395"/>
        <v>23</v>
      </c>
      <c r="Q888" s="304">
        <f t="shared" ca="1" si="396"/>
        <v>0</v>
      </c>
      <c r="R888" s="306">
        <f t="shared" ca="1" si="397"/>
        <v>0</v>
      </c>
      <c r="S888" s="307">
        <f t="shared" ca="1" si="398"/>
        <v>10.637999999999975</v>
      </c>
      <c r="T888" s="304">
        <f t="shared" ca="1" si="378"/>
        <v>104.35877999999975</v>
      </c>
      <c r="U888" s="311">
        <f t="shared" ca="1" si="379"/>
        <v>0</v>
      </c>
      <c r="V888" s="306">
        <f t="shared" ca="1" si="380"/>
        <v>1.2261828958023995</v>
      </c>
      <c r="W888" s="304">
        <f t="shared" ca="1" si="381"/>
        <v>92.7226897420786</v>
      </c>
      <c r="Y888" s="314" t="str">
        <f t="shared" ca="1" si="399"/>
        <v/>
      </c>
      <c r="Z888" s="315" t="str">
        <f t="shared" ca="1" si="400"/>
        <v/>
      </c>
      <c r="AA888" s="316" t="str">
        <f t="shared" ca="1" si="401"/>
        <v/>
      </c>
      <c r="AC888" s="310" t="e">
        <f t="shared" ca="1" si="402"/>
        <v>#N/A</v>
      </c>
      <c r="AD888" s="323" t="e">
        <f t="shared" ca="1" si="403"/>
        <v>#N/A</v>
      </c>
      <c r="AE888" s="324" t="e">
        <f t="shared" ca="1" si="382"/>
        <v>#N/A</v>
      </c>
      <c r="AG888" s="306">
        <f t="shared" ca="1" si="404"/>
        <v>1.0825788653029083</v>
      </c>
      <c r="AH888" s="304">
        <f t="shared" ca="1" si="405"/>
        <v>-8.7161511543707224</v>
      </c>
    </row>
    <row r="889" spans="1:34" x14ac:dyDescent="0.25">
      <c r="A889" s="347">
        <f t="shared" ca="1" si="383"/>
        <v>1E-4</v>
      </c>
      <c r="B889" s="304">
        <f t="shared" ca="1" si="384"/>
        <v>42.900600000000296</v>
      </c>
      <c r="D889" s="306">
        <f t="shared" ca="1" si="385"/>
        <v>-0.4176766390709577</v>
      </c>
      <c r="E889" s="307">
        <f t="shared" ca="1" si="386"/>
        <v>-1.103836333928303</v>
      </c>
      <c r="F889" s="304">
        <f t="shared" ca="1" si="387"/>
        <v>1.1802154154754492</v>
      </c>
      <c r="G889" s="306">
        <f t="shared" ca="1" si="388"/>
        <v>6.4637222303174644</v>
      </c>
      <c r="H889" s="307">
        <f t="shared" ca="1" si="389"/>
        <v>-134.73253734066864</v>
      </c>
      <c r="I889" s="304">
        <f t="shared" ca="1" si="390"/>
        <v>134.88749505912463</v>
      </c>
      <c r="J889" s="306">
        <f t="shared" ca="1" si="391"/>
        <v>638.40045476391947</v>
      </c>
      <c r="K889" s="307">
        <f t="shared" ca="1" si="392"/>
        <v>-9.6651055635788676</v>
      </c>
      <c r="L889" s="304">
        <f t="shared" ca="1" si="377"/>
        <v>638.47361332190872</v>
      </c>
      <c r="M889" s="306">
        <f t="shared" ca="1" si="393"/>
        <v>-1.5228586100808761</v>
      </c>
      <c r="N889" s="304">
        <f t="shared" ca="1" si="394"/>
        <v>-87.25337115279288</v>
      </c>
      <c r="P889" s="310">
        <f t="shared" ca="1" si="395"/>
        <v>23</v>
      </c>
      <c r="Q889" s="304">
        <f t="shared" ca="1" si="396"/>
        <v>0</v>
      </c>
      <c r="R889" s="306">
        <f t="shared" ca="1" si="397"/>
        <v>0</v>
      </c>
      <c r="S889" s="307">
        <f t="shared" ca="1" si="398"/>
        <v>10.637999999999975</v>
      </c>
      <c r="T889" s="304">
        <f t="shared" ca="1" si="378"/>
        <v>104.35877999999975</v>
      </c>
      <c r="U889" s="311">
        <f t="shared" ca="1" si="379"/>
        <v>0</v>
      </c>
      <c r="V889" s="306">
        <f t="shared" ca="1" si="380"/>
        <v>1.2261845478705491</v>
      </c>
      <c r="W889" s="304">
        <f t="shared" ca="1" si="381"/>
        <v>92.722963501237558</v>
      </c>
      <c r="Y889" s="314" t="str">
        <f t="shared" ca="1" si="399"/>
        <v/>
      </c>
      <c r="Z889" s="315" t="str">
        <f t="shared" ca="1" si="400"/>
        <v/>
      </c>
      <c r="AA889" s="316" t="str">
        <f t="shared" ca="1" si="401"/>
        <v/>
      </c>
      <c r="AC889" s="310" t="e">
        <f t="shared" ca="1" si="402"/>
        <v>#N/A</v>
      </c>
      <c r="AD889" s="323" t="e">
        <f t="shared" ca="1" si="403"/>
        <v>#N/A</v>
      </c>
      <c r="AE889" s="324" t="e">
        <f t="shared" ca="1" si="382"/>
        <v>#N/A</v>
      </c>
      <c r="AG889" s="306">
        <f t="shared" ca="1" si="404"/>
        <v>1.0825532947977035</v>
      </c>
      <c r="AH889" s="304">
        <f t="shared" ca="1" si="405"/>
        <v>-8.7161768887082935</v>
      </c>
    </row>
    <row r="890" spans="1:34" x14ac:dyDescent="0.25">
      <c r="A890" s="347">
        <f t="shared" ca="1" si="383"/>
        <v>1E-4</v>
      </c>
      <c r="B890" s="304">
        <f t="shared" ca="1" si="384"/>
        <v>42.900700000000299</v>
      </c>
      <c r="D890" s="306">
        <f t="shared" ca="1" si="385"/>
        <v>-0.41767483807289152</v>
      </c>
      <c r="E890" s="307">
        <f t="shared" ca="1" si="386"/>
        <v>-1.1038104838472318</v>
      </c>
      <c r="F890" s="304">
        <f t="shared" ca="1" si="387"/>
        <v>1.1801906009667575</v>
      </c>
      <c r="G890" s="306">
        <f t="shared" ca="1" si="388"/>
        <v>6.4636804628336568</v>
      </c>
      <c r="H890" s="307">
        <f t="shared" ca="1" si="389"/>
        <v>-134.73264772171703</v>
      </c>
      <c r="I890" s="304">
        <f t="shared" ca="1" si="390"/>
        <v>134.88760331190528</v>
      </c>
      <c r="J890" s="306">
        <f t="shared" ca="1" si="391"/>
        <v>638.40045476391947</v>
      </c>
      <c r="K890" s="307">
        <f t="shared" ca="1" si="392"/>
        <v>-9.6785788228319873</v>
      </c>
      <c r="L890" s="304">
        <f t="shared" ca="1" si="377"/>
        <v>638.47381741995412</v>
      </c>
      <c r="M890" s="306">
        <f t="shared" ca="1" si="393"/>
        <v>-1.5228589585850345</v>
      </c>
      <c r="N890" s="304">
        <f t="shared" ca="1" si="394"/>
        <v>-87.253391120610303</v>
      </c>
      <c r="P890" s="310">
        <f t="shared" ca="1" si="395"/>
        <v>23</v>
      </c>
      <c r="Q890" s="304">
        <f t="shared" ca="1" si="396"/>
        <v>0</v>
      </c>
      <c r="R890" s="306">
        <f t="shared" ca="1" si="397"/>
        <v>0</v>
      </c>
      <c r="S890" s="307">
        <f t="shared" ca="1" si="398"/>
        <v>10.637999999999975</v>
      </c>
      <c r="T890" s="304">
        <f t="shared" ca="1" si="378"/>
        <v>104.35877999999975</v>
      </c>
      <c r="U890" s="311">
        <f t="shared" ca="1" si="379"/>
        <v>0</v>
      </c>
      <c r="V890" s="306">
        <f t="shared" ca="1" si="380"/>
        <v>1.2261861999422792</v>
      </c>
      <c r="W890" s="304">
        <f t="shared" ca="1" si="381"/>
        <v>92.723237257672267</v>
      </c>
      <c r="Y890" s="314" t="str">
        <f t="shared" ca="1" si="399"/>
        <v/>
      </c>
      <c r="Z890" s="315" t="str">
        <f t="shared" ca="1" si="400"/>
        <v/>
      </c>
      <c r="AA890" s="316" t="str">
        <f t="shared" ca="1" si="401"/>
        <v/>
      </c>
      <c r="AC890" s="310" t="e">
        <f t="shared" ca="1" si="402"/>
        <v>#N/A</v>
      </c>
      <c r="AD890" s="323" t="e">
        <f t="shared" ca="1" si="403"/>
        <v>#N/A</v>
      </c>
      <c r="AE890" s="324" t="e">
        <f t="shared" ca="1" si="382"/>
        <v>#N/A</v>
      </c>
      <c r="AG890" s="306">
        <f t="shared" ca="1" si="404"/>
        <v>1.0825277245460647</v>
      </c>
      <c r="AH890" s="304">
        <f t="shared" ca="1" si="405"/>
        <v>-8.7162026227897886</v>
      </c>
    </row>
    <row r="891" spans="1:34" x14ac:dyDescent="0.25">
      <c r="A891" s="347">
        <f t="shared" ca="1" si="383"/>
        <v>1E-4</v>
      </c>
      <c r="B891" s="304">
        <f t="shared" ca="1" si="384"/>
        <v>42.900800000000302</v>
      </c>
      <c r="D891" s="306">
        <f t="shared" ca="1" si="385"/>
        <v>-0.41767303706906261</v>
      </c>
      <c r="E891" s="307">
        <f t="shared" ca="1" si="386"/>
        <v>-1.1037846340233237</v>
      </c>
      <c r="F891" s="304">
        <f t="shared" ca="1" si="387"/>
        <v>1.1801657867437512</v>
      </c>
      <c r="G891" s="306">
        <f t="shared" ca="1" si="388"/>
        <v>6.4636386955299496</v>
      </c>
      <c r="H891" s="307">
        <f t="shared" ca="1" si="389"/>
        <v>-134.73275810018043</v>
      </c>
      <c r="I891" s="304">
        <f t="shared" ca="1" si="390"/>
        <v>134.88771156212891</v>
      </c>
      <c r="J891" s="306">
        <f t="shared" ca="1" si="391"/>
        <v>638.40045476391947</v>
      </c>
      <c r="K891" s="307">
        <f t="shared" ca="1" si="392"/>
        <v>-9.6920520931230829</v>
      </c>
      <c r="L891" s="304">
        <f t="shared" ca="1" si="377"/>
        <v>638.47402180241841</v>
      </c>
      <c r="M891" s="306">
        <f t="shared" ca="1" si="393"/>
        <v>-1.5228593070863816</v>
      </c>
      <c r="N891" s="304">
        <f t="shared" ca="1" si="394"/>
        <v>-87.253411088266645</v>
      </c>
      <c r="P891" s="310">
        <f t="shared" ca="1" si="395"/>
        <v>23</v>
      </c>
      <c r="Q891" s="304">
        <f t="shared" ca="1" si="396"/>
        <v>0</v>
      </c>
      <c r="R891" s="306">
        <f t="shared" ca="1" si="397"/>
        <v>0</v>
      </c>
      <c r="S891" s="307">
        <f t="shared" ca="1" si="398"/>
        <v>10.637999999999975</v>
      </c>
      <c r="T891" s="304">
        <f t="shared" ca="1" si="378"/>
        <v>104.35877999999975</v>
      </c>
      <c r="U891" s="311">
        <f t="shared" ca="1" si="379"/>
        <v>0</v>
      </c>
      <c r="V891" s="306">
        <f t="shared" ca="1" si="380"/>
        <v>1.2261878520175893</v>
      </c>
      <c r="W891" s="304">
        <f t="shared" ca="1" si="381"/>
        <v>92.723511011382712</v>
      </c>
      <c r="Y891" s="314" t="str">
        <f t="shared" ca="1" si="399"/>
        <v/>
      </c>
      <c r="Z891" s="315" t="str">
        <f t="shared" ca="1" si="400"/>
        <v/>
      </c>
      <c r="AA891" s="316" t="str">
        <f t="shared" ca="1" si="401"/>
        <v/>
      </c>
      <c r="AC891" s="310" t="e">
        <f t="shared" ca="1" si="402"/>
        <v>#N/A</v>
      </c>
      <c r="AD891" s="323" t="e">
        <f t="shared" ca="1" si="403"/>
        <v>#N/A</v>
      </c>
      <c r="AE891" s="324" t="e">
        <f t="shared" ca="1" si="382"/>
        <v>#N/A</v>
      </c>
      <c r="AG891" s="306">
        <f t="shared" ca="1" si="404"/>
        <v>1.0825021545479991</v>
      </c>
      <c r="AH891" s="304">
        <f t="shared" ca="1" si="405"/>
        <v>-8.7162283566151988</v>
      </c>
    </row>
    <row r="892" spans="1:34" x14ac:dyDescent="0.25">
      <c r="A892" s="347">
        <f t="shared" ca="1" si="383"/>
        <v>1E-4</v>
      </c>
      <c r="B892" s="304">
        <f t="shared" ca="1" si="384"/>
        <v>42.900900000000306</v>
      </c>
      <c r="D892" s="306">
        <f t="shared" ca="1" si="385"/>
        <v>-0.41767123605947137</v>
      </c>
      <c r="E892" s="307">
        <f t="shared" ca="1" si="386"/>
        <v>-1.1037587844565824</v>
      </c>
      <c r="F892" s="304">
        <f t="shared" ca="1" si="387"/>
        <v>1.1801409728064349</v>
      </c>
      <c r="G892" s="306">
        <f t="shared" ca="1" si="388"/>
        <v>6.4635969284063437</v>
      </c>
      <c r="H892" s="307">
        <f t="shared" ca="1" si="389"/>
        <v>-134.73286847605888</v>
      </c>
      <c r="I892" s="304">
        <f t="shared" ca="1" si="390"/>
        <v>134.88781980979559</v>
      </c>
      <c r="J892" s="306">
        <f t="shared" ca="1" si="391"/>
        <v>638.40045476391947</v>
      </c>
      <c r="K892" s="307">
        <f t="shared" ca="1" si="392"/>
        <v>-9.705525374451895</v>
      </c>
      <c r="L892" s="304">
        <f t="shared" ca="1" si="377"/>
        <v>638.47422646930181</v>
      </c>
      <c r="M892" s="306">
        <f t="shared" ca="1" si="393"/>
        <v>-1.5228596555849174</v>
      </c>
      <c r="N892" s="304">
        <f t="shared" ca="1" si="394"/>
        <v>-87.253431055761908</v>
      </c>
      <c r="P892" s="310">
        <f t="shared" ca="1" si="395"/>
        <v>23</v>
      </c>
      <c r="Q892" s="304">
        <f t="shared" ca="1" si="396"/>
        <v>0</v>
      </c>
      <c r="R892" s="306">
        <f t="shared" ca="1" si="397"/>
        <v>0</v>
      </c>
      <c r="S892" s="307">
        <f t="shared" ca="1" si="398"/>
        <v>10.637999999999975</v>
      </c>
      <c r="T892" s="304">
        <f t="shared" ca="1" si="378"/>
        <v>104.35877999999975</v>
      </c>
      <c r="U892" s="311">
        <f t="shared" ca="1" si="379"/>
        <v>0</v>
      </c>
      <c r="V892" s="306">
        <f t="shared" ca="1" si="380"/>
        <v>1.2261895040964799</v>
      </c>
      <c r="W892" s="304">
        <f t="shared" ca="1" si="381"/>
        <v>92.723784762369021</v>
      </c>
      <c r="Y892" s="314" t="str">
        <f t="shared" ca="1" si="399"/>
        <v/>
      </c>
      <c r="Z892" s="315" t="str">
        <f t="shared" ca="1" si="400"/>
        <v/>
      </c>
      <c r="AA892" s="316" t="str">
        <f t="shared" ca="1" si="401"/>
        <v/>
      </c>
      <c r="AC892" s="310" t="e">
        <f t="shared" ca="1" si="402"/>
        <v>#N/A</v>
      </c>
      <c r="AD892" s="323" t="e">
        <f t="shared" ca="1" si="403"/>
        <v>#N/A</v>
      </c>
      <c r="AE892" s="324" t="e">
        <f t="shared" ca="1" si="382"/>
        <v>#N/A</v>
      </c>
      <c r="AG892" s="306">
        <f t="shared" ca="1" si="404"/>
        <v>1.0824765848035085</v>
      </c>
      <c r="AH892" s="304">
        <f t="shared" ca="1" si="405"/>
        <v>-8.7162540901845205</v>
      </c>
    </row>
    <row r="893" spans="1:34" x14ac:dyDescent="0.25">
      <c r="A893" s="347">
        <f t="shared" ca="1" si="383"/>
        <v>1E-4</v>
      </c>
      <c r="B893" s="304">
        <f t="shared" ca="1" si="384"/>
        <v>42.901000000000309</v>
      </c>
      <c r="D893" s="306">
        <f t="shared" ca="1" si="385"/>
        <v>-0.41766943504411902</v>
      </c>
      <c r="E893" s="307">
        <f t="shared" ca="1" si="386"/>
        <v>-1.1037329351469936</v>
      </c>
      <c r="F893" s="304">
        <f t="shared" ca="1" si="387"/>
        <v>1.1801161591547973</v>
      </c>
      <c r="G893" s="306">
        <f t="shared" ca="1" si="388"/>
        <v>6.463555161462839</v>
      </c>
      <c r="H893" s="307">
        <f t="shared" ca="1" si="389"/>
        <v>-134.73297884935241</v>
      </c>
      <c r="I893" s="304">
        <f t="shared" ca="1" si="390"/>
        <v>134.88792805490533</v>
      </c>
      <c r="J893" s="306">
        <f t="shared" ca="1" si="391"/>
        <v>638.40045476391947</v>
      </c>
      <c r="K893" s="307">
        <f t="shared" ca="1" si="392"/>
        <v>-9.718998666818166</v>
      </c>
      <c r="L893" s="304">
        <f t="shared" ca="1" si="377"/>
        <v>638.47443142060501</v>
      </c>
      <c r="M893" s="306">
        <f t="shared" ca="1" si="393"/>
        <v>-1.5228600040806417</v>
      </c>
      <c r="N893" s="304">
        <f t="shared" ca="1" si="394"/>
        <v>-87.25345102309609</v>
      </c>
      <c r="P893" s="310">
        <f t="shared" ca="1" si="395"/>
        <v>23</v>
      </c>
      <c r="Q893" s="304">
        <f t="shared" ca="1" si="396"/>
        <v>0</v>
      </c>
      <c r="R893" s="306">
        <f t="shared" ca="1" si="397"/>
        <v>0</v>
      </c>
      <c r="S893" s="307">
        <f t="shared" ca="1" si="398"/>
        <v>10.637999999999975</v>
      </c>
      <c r="T893" s="304">
        <f t="shared" ca="1" si="378"/>
        <v>104.35877999999975</v>
      </c>
      <c r="U893" s="311">
        <f t="shared" ca="1" si="379"/>
        <v>0</v>
      </c>
      <c r="V893" s="306">
        <f t="shared" ca="1" si="380"/>
        <v>1.2261911561789514</v>
      </c>
      <c r="W893" s="304">
        <f t="shared" ca="1" si="381"/>
        <v>92.72405851063121</v>
      </c>
      <c r="Y893" s="314" t="str">
        <f t="shared" ca="1" si="399"/>
        <v/>
      </c>
      <c r="Z893" s="315" t="str">
        <f t="shared" ca="1" si="400"/>
        <v/>
      </c>
      <c r="AA893" s="316" t="str">
        <f t="shared" ca="1" si="401"/>
        <v/>
      </c>
      <c r="AC893" s="310" t="e">
        <f t="shared" ca="1" si="402"/>
        <v>#N/A</v>
      </c>
      <c r="AD893" s="323" t="e">
        <f t="shared" ca="1" si="403"/>
        <v>#N/A</v>
      </c>
      <c r="AE893" s="324" t="e">
        <f t="shared" ca="1" si="382"/>
        <v>#N/A</v>
      </c>
      <c r="AG893" s="306">
        <f t="shared" ca="1" si="404"/>
        <v>1.0824510153125839</v>
      </c>
      <c r="AH893" s="304">
        <f t="shared" ca="1" si="405"/>
        <v>-8.7162798234977661</v>
      </c>
    </row>
    <row r="894" spans="1:34" x14ac:dyDescent="0.25">
      <c r="A894" s="347">
        <f t="shared" ca="1" si="383"/>
        <v>1E-4</v>
      </c>
      <c r="B894" s="304">
        <f t="shared" ca="1" si="384"/>
        <v>42.901100000000312</v>
      </c>
      <c r="D894" s="306">
        <f t="shared" ca="1" si="385"/>
        <v>-0.41766763402300783</v>
      </c>
      <c r="E894" s="307">
        <f t="shared" ca="1" si="386"/>
        <v>-1.103707086094559</v>
      </c>
      <c r="F894" s="304">
        <f t="shared" ca="1" si="387"/>
        <v>1.1800913457888418</v>
      </c>
      <c r="G894" s="306">
        <f t="shared" ca="1" si="388"/>
        <v>6.4635133946994365</v>
      </c>
      <c r="H894" s="307">
        <f t="shared" ca="1" si="389"/>
        <v>-134.733089220061</v>
      </c>
      <c r="I894" s="304">
        <f t="shared" ca="1" si="390"/>
        <v>134.88803629745811</v>
      </c>
      <c r="J894" s="306">
        <f t="shared" ca="1" si="391"/>
        <v>638.40045476391947</v>
      </c>
      <c r="K894" s="307">
        <f t="shared" ca="1" si="392"/>
        <v>-9.7324719702216367</v>
      </c>
      <c r="L894" s="304">
        <f t="shared" ca="1" si="377"/>
        <v>638.47463665632824</v>
      </c>
      <c r="M894" s="306">
        <f t="shared" ca="1" si="393"/>
        <v>-1.5228603525735551</v>
      </c>
      <c r="N894" s="304">
        <f t="shared" ca="1" si="394"/>
        <v>-87.253470990269221</v>
      </c>
      <c r="P894" s="310">
        <f t="shared" ca="1" si="395"/>
        <v>23</v>
      </c>
      <c r="Q894" s="304">
        <f t="shared" ca="1" si="396"/>
        <v>0</v>
      </c>
      <c r="R894" s="306">
        <f t="shared" ca="1" si="397"/>
        <v>0</v>
      </c>
      <c r="S894" s="307">
        <f t="shared" ca="1" si="398"/>
        <v>10.637999999999975</v>
      </c>
      <c r="T894" s="304">
        <f t="shared" ca="1" si="378"/>
        <v>104.35877999999975</v>
      </c>
      <c r="U894" s="311">
        <f t="shared" ca="1" si="379"/>
        <v>0</v>
      </c>
      <c r="V894" s="306">
        <f t="shared" ca="1" si="380"/>
        <v>1.2261928082650027</v>
      </c>
      <c r="W894" s="304">
        <f t="shared" ca="1" si="381"/>
        <v>92.724332256169149</v>
      </c>
      <c r="Y894" s="314" t="str">
        <f t="shared" ca="1" si="399"/>
        <v/>
      </c>
      <c r="Z894" s="315" t="str">
        <f t="shared" ca="1" si="400"/>
        <v/>
      </c>
      <c r="AA894" s="316" t="str">
        <f t="shared" ca="1" si="401"/>
        <v/>
      </c>
      <c r="AC894" s="310" t="e">
        <f t="shared" ca="1" si="402"/>
        <v>#N/A</v>
      </c>
      <c r="AD894" s="323" t="e">
        <f t="shared" ca="1" si="403"/>
        <v>#N/A</v>
      </c>
      <c r="AE894" s="324" t="e">
        <f t="shared" ca="1" si="382"/>
        <v>#N/A</v>
      </c>
      <c r="AG894" s="306">
        <f t="shared" ca="1" si="404"/>
        <v>1.0824254460752201</v>
      </c>
      <c r="AH894" s="304">
        <f t="shared" ca="1" si="405"/>
        <v>-8.7163055565549374</v>
      </c>
    </row>
    <row r="895" spans="1:34" x14ac:dyDescent="0.25">
      <c r="A895" s="347">
        <f t="shared" ca="1" si="383"/>
        <v>1E-4</v>
      </c>
      <c r="B895" s="304">
        <f t="shared" ca="1" si="384"/>
        <v>42.901200000000316</v>
      </c>
      <c r="D895" s="306">
        <f t="shared" ca="1" si="385"/>
        <v>-0.41766583299613202</v>
      </c>
      <c r="E895" s="307">
        <f t="shared" ca="1" si="386"/>
        <v>-1.1036812372992877</v>
      </c>
      <c r="F895" s="304">
        <f t="shared" ca="1" si="387"/>
        <v>1.1800665327085755</v>
      </c>
      <c r="G895" s="306">
        <f t="shared" ca="1" si="388"/>
        <v>6.4634716281161371</v>
      </c>
      <c r="H895" s="307">
        <f t="shared" ca="1" si="389"/>
        <v>-134.73319958818473</v>
      </c>
      <c r="I895" s="304">
        <f t="shared" ca="1" si="390"/>
        <v>134.88814453745402</v>
      </c>
      <c r="J895" s="306">
        <f t="shared" ca="1" si="391"/>
        <v>638.40045476391947</v>
      </c>
      <c r="K895" s="307">
        <f t="shared" ca="1" si="392"/>
        <v>-9.7459452846620493</v>
      </c>
      <c r="L895" s="304">
        <f t="shared" ca="1" si="377"/>
        <v>638.47484217647195</v>
      </c>
      <c r="M895" s="306">
        <f t="shared" ca="1" si="393"/>
        <v>-1.522860701063657</v>
      </c>
      <c r="N895" s="304">
        <f t="shared" ca="1" si="394"/>
        <v>-87.253490957281258</v>
      </c>
      <c r="P895" s="310">
        <f t="shared" ca="1" si="395"/>
        <v>23</v>
      </c>
      <c r="Q895" s="304">
        <f t="shared" ca="1" si="396"/>
        <v>0</v>
      </c>
      <c r="R895" s="306">
        <f t="shared" ca="1" si="397"/>
        <v>0</v>
      </c>
      <c r="S895" s="307">
        <f t="shared" ca="1" si="398"/>
        <v>10.637999999999975</v>
      </c>
      <c r="T895" s="304">
        <f t="shared" ca="1" si="378"/>
        <v>104.35877999999975</v>
      </c>
      <c r="U895" s="311">
        <f t="shared" ca="1" si="379"/>
        <v>0</v>
      </c>
      <c r="V895" s="306">
        <f t="shared" ca="1" si="380"/>
        <v>1.2261944603546344</v>
      </c>
      <c r="W895" s="304">
        <f t="shared" ca="1" si="381"/>
        <v>92.72460599898298</v>
      </c>
      <c r="Y895" s="314" t="str">
        <f t="shared" ca="1" si="399"/>
        <v/>
      </c>
      <c r="Z895" s="315" t="str">
        <f t="shared" ca="1" si="400"/>
        <v/>
      </c>
      <c r="AA895" s="316" t="str">
        <f t="shared" ca="1" si="401"/>
        <v/>
      </c>
      <c r="AC895" s="310" t="e">
        <f t="shared" ca="1" si="402"/>
        <v>#N/A</v>
      </c>
      <c r="AD895" s="323" t="e">
        <f t="shared" ca="1" si="403"/>
        <v>#N/A</v>
      </c>
      <c r="AE895" s="324" t="e">
        <f t="shared" ca="1" si="382"/>
        <v>#N/A</v>
      </c>
      <c r="AG895" s="306">
        <f t="shared" ca="1" si="404"/>
        <v>1.0823998770914329</v>
      </c>
      <c r="AH895" s="304">
        <f t="shared" ca="1" si="405"/>
        <v>-8.7163312893560221</v>
      </c>
    </row>
    <row r="896" spans="1:34" x14ac:dyDescent="0.25">
      <c r="A896" s="347">
        <f t="shared" ca="1" si="383"/>
        <v>1E-4</v>
      </c>
      <c r="B896" s="304">
        <f t="shared" ca="1" si="384"/>
        <v>42.901300000000319</v>
      </c>
      <c r="D896" s="306">
        <f t="shared" ca="1" si="385"/>
        <v>-0.41766403196349855</v>
      </c>
      <c r="E896" s="307">
        <f t="shared" ca="1" si="386"/>
        <v>-1.1036553887611689</v>
      </c>
      <c r="F896" s="304">
        <f t="shared" ca="1" si="387"/>
        <v>1.1800417199139923</v>
      </c>
      <c r="G896" s="306">
        <f t="shared" ca="1" si="388"/>
        <v>6.4634298617129406</v>
      </c>
      <c r="H896" s="307">
        <f t="shared" ca="1" si="389"/>
        <v>-134.73330995372362</v>
      </c>
      <c r="I896" s="304">
        <f t="shared" ca="1" si="390"/>
        <v>134.88825277489306</v>
      </c>
      <c r="J896" s="306">
        <f t="shared" ca="1" si="391"/>
        <v>638.40045476391947</v>
      </c>
      <c r="K896" s="307">
        <f t="shared" ca="1" si="392"/>
        <v>-9.7594186101391447</v>
      </c>
      <c r="L896" s="304">
        <f t="shared" ca="1" si="377"/>
        <v>638.47504798103671</v>
      </c>
      <c r="M896" s="306">
        <f t="shared" ca="1" si="393"/>
        <v>-1.5228610495509478</v>
      </c>
      <c r="N896" s="304">
        <f t="shared" ca="1" si="394"/>
        <v>-87.253510924132243</v>
      </c>
      <c r="P896" s="310">
        <f t="shared" ca="1" si="395"/>
        <v>23</v>
      </c>
      <c r="Q896" s="304">
        <f t="shared" ca="1" si="396"/>
        <v>0</v>
      </c>
      <c r="R896" s="306">
        <f t="shared" ca="1" si="397"/>
        <v>0</v>
      </c>
      <c r="S896" s="307">
        <f t="shared" ca="1" si="398"/>
        <v>10.637999999999975</v>
      </c>
      <c r="T896" s="304">
        <f t="shared" ca="1" si="378"/>
        <v>104.35877999999975</v>
      </c>
      <c r="U896" s="311">
        <f t="shared" ca="1" si="379"/>
        <v>0</v>
      </c>
      <c r="V896" s="306">
        <f t="shared" ca="1" si="380"/>
        <v>1.2261961124478462</v>
      </c>
      <c r="W896" s="304">
        <f t="shared" ca="1" si="381"/>
        <v>92.724879739072662</v>
      </c>
      <c r="Y896" s="314" t="str">
        <f t="shared" ca="1" si="399"/>
        <v/>
      </c>
      <c r="Z896" s="315" t="str">
        <f t="shared" ca="1" si="400"/>
        <v/>
      </c>
      <c r="AA896" s="316" t="str">
        <f t="shared" ca="1" si="401"/>
        <v/>
      </c>
      <c r="AC896" s="310" t="e">
        <f t="shared" ca="1" si="402"/>
        <v>#N/A</v>
      </c>
      <c r="AD896" s="323" t="e">
        <f t="shared" ca="1" si="403"/>
        <v>#N/A</v>
      </c>
      <c r="AE896" s="324" t="e">
        <f t="shared" ca="1" si="382"/>
        <v>#N/A</v>
      </c>
      <c r="AG896" s="306">
        <f t="shared" ca="1" si="404"/>
        <v>1.0823743083612065</v>
      </c>
      <c r="AH896" s="304">
        <f t="shared" ca="1" si="405"/>
        <v>-8.7163570219010342</v>
      </c>
    </row>
    <row r="897" spans="1:34" x14ac:dyDescent="0.25">
      <c r="A897" s="347">
        <f t="shared" ca="1" si="383"/>
        <v>1E-4</v>
      </c>
      <c r="B897" s="304">
        <f t="shared" ca="1" si="384"/>
        <v>42.901400000000322</v>
      </c>
      <c r="D897" s="306">
        <f t="shared" ca="1" si="385"/>
        <v>-0.41766223092510374</v>
      </c>
      <c r="E897" s="307">
        <f t="shared" ca="1" si="386"/>
        <v>-1.1036295404802026</v>
      </c>
      <c r="F897" s="304">
        <f t="shared" ca="1" si="387"/>
        <v>1.1800169074050921</v>
      </c>
      <c r="G897" s="306">
        <f t="shared" ca="1" si="388"/>
        <v>6.4633880954898482</v>
      </c>
      <c r="H897" s="307">
        <f t="shared" ca="1" si="389"/>
        <v>-134.73342031667767</v>
      </c>
      <c r="I897" s="304">
        <f t="shared" ca="1" si="390"/>
        <v>134.88836100977522</v>
      </c>
      <c r="J897" s="306">
        <f t="shared" ca="1" si="391"/>
        <v>638.40045476391947</v>
      </c>
      <c r="K897" s="307">
        <f t="shared" ca="1" si="392"/>
        <v>-9.7728919466526651</v>
      </c>
      <c r="L897" s="304">
        <f t="shared" ca="1" si="377"/>
        <v>638.47525407002274</v>
      </c>
      <c r="M897" s="306">
        <f t="shared" ca="1" si="393"/>
        <v>-1.5228613980354275</v>
      </c>
      <c r="N897" s="304">
        <f t="shared" ca="1" si="394"/>
        <v>-87.253530890822148</v>
      </c>
      <c r="P897" s="310">
        <f t="shared" ca="1" si="395"/>
        <v>23</v>
      </c>
      <c r="Q897" s="304">
        <f t="shared" ca="1" si="396"/>
        <v>0</v>
      </c>
      <c r="R897" s="306">
        <f t="shared" ca="1" si="397"/>
        <v>0</v>
      </c>
      <c r="S897" s="307">
        <f t="shared" ca="1" si="398"/>
        <v>10.637999999999975</v>
      </c>
      <c r="T897" s="304">
        <f t="shared" ca="1" si="378"/>
        <v>104.35877999999975</v>
      </c>
      <c r="U897" s="311">
        <f t="shared" ca="1" si="379"/>
        <v>0</v>
      </c>
      <c r="V897" s="306">
        <f t="shared" ca="1" si="380"/>
        <v>1.2261977645446387</v>
      </c>
      <c r="W897" s="304">
        <f t="shared" ca="1" si="381"/>
        <v>92.725153476438194</v>
      </c>
      <c r="Y897" s="314" t="str">
        <f t="shared" ca="1" si="399"/>
        <v/>
      </c>
      <c r="Z897" s="315" t="str">
        <f t="shared" ca="1" si="400"/>
        <v/>
      </c>
      <c r="AA897" s="316" t="str">
        <f t="shared" ca="1" si="401"/>
        <v/>
      </c>
      <c r="AC897" s="310" t="e">
        <f t="shared" ca="1" si="402"/>
        <v>#N/A</v>
      </c>
      <c r="AD897" s="323" t="e">
        <f t="shared" ca="1" si="403"/>
        <v>#N/A</v>
      </c>
      <c r="AE897" s="324" t="e">
        <f t="shared" ca="1" si="382"/>
        <v>#N/A</v>
      </c>
      <c r="AG897" s="306">
        <f t="shared" ca="1" si="404"/>
        <v>1.0823487398845479</v>
      </c>
      <c r="AH897" s="304">
        <f t="shared" ca="1" si="405"/>
        <v>-8.7163827541899686</v>
      </c>
    </row>
    <row r="898" spans="1:34" x14ac:dyDescent="0.25">
      <c r="A898" s="347">
        <f t="shared" ca="1" si="383"/>
        <v>1E-4</v>
      </c>
      <c r="B898" s="304">
        <f t="shared" ca="1" si="384"/>
        <v>42.901500000000325</v>
      </c>
      <c r="D898" s="306">
        <f t="shared" ca="1" si="385"/>
        <v>-0.4176604298809482</v>
      </c>
      <c r="E898" s="307">
        <f t="shared" ca="1" si="386"/>
        <v>-1.1036036924563941</v>
      </c>
      <c r="F898" s="304">
        <f t="shared" ca="1" si="387"/>
        <v>1.1799920951818812</v>
      </c>
      <c r="G898" s="306">
        <f t="shared" ca="1" si="388"/>
        <v>6.4633463294468605</v>
      </c>
      <c r="H898" s="307">
        <f t="shared" ca="1" si="389"/>
        <v>-134.7335306770469</v>
      </c>
      <c r="I898" s="304">
        <f t="shared" ca="1" si="390"/>
        <v>134.88846924210057</v>
      </c>
      <c r="J898" s="306">
        <f t="shared" ca="1" si="391"/>
        <v>638.40045476391947</v>
      </c>
      <c r="K898" s="307">
        <f t="shared" ca="1" si="392"/>
        <v>-9.7863652942023514</v>
      </c>
      <c r="L898" s="304">
        <f t="shared" ca="1" si="377"/>
        <v>638.47546044343062</v>
      </c>
      <c r="M898" s="306">
        <f t="shared" ca="1" si="393"/>
        <v>-1.5228617465170959</v>
      </c>
      <c r="N898" s="304">
        <f t="shared" ca="1" si="394"/>
        <v>-87.253550857350987</v>
      </c>
      <c r="P898" s="310">
        <f t="shared" ca="1" si="395"/>
        <v>23</v>
      </c>
      <c r="Q898" s="304">
        <f t="shared" ca="1" si="396"/>
        <v>0</v>
      </c>
      <c r="R898" s="306">
        <f t="shared" ca="1" si="397"/>
        <v>0</v>
      </c>
      <c r="S898" s="307">
        <f t="shared" ca="1" si="398"/>
        <v>10.637999999999975</v>
      </c>
      <c r="T898" s="304">
        <f t="shared" ca="1" si="378"/>
        <v>104.35877999999975</v>
      </c>
      <c r="U898" s="311">
        <f t="shared" ca="1" si="379"/>
        <v>0</v>
      </c>
      <c r="V898" s="306">
        <f t="shared" ca="1" si="380"/>
        <v>1.2261994166450114</v>
      </c>
      <c r="W898" s="304">
        <f t="shared" ca="1" si="381"/>
        <v>92.725427211079662</v>
      </c>
      <c r="Y898" s="314" t="str">
        <f t="shared" ca="1" si="399"/>
        <v/>
      </c>
      <c r="Z898" s="315" t="str">
        <f t="shared" ca="1" si="400"/>
        <v/>
      </c>
      <c r="AA898" s="316" t="str">
        <f t="shared" ca="1" si="401"/>
        <v/>
      </c>
      <c r="AC898" s="310" t="e">
        <f t="shared" ca="1" si="402"/>
        <v>#N/A</v>
      </c>
      <c r="AD898" s="323" t="e">
        <f t="shared" ca="1" si="403"/>
        <v>#N/A</v>
      </c>
      <c r="AE898" s="324" t="e">
        <f t="shared" ca="1" si="382"/>
        <v>#N/A</v>
      </c>
      <c r="AG898" s="306">
        <f t="shared" ca="1" si="404"/>
        <v>1.0823231716614536</v>
      </c>
      <c r="AH898" s="304">
        <f t="shared" ca="1" si="405"/>
        <v>-8.716408486222825</v>
      </c>
    </row>
    <row r="899" spans="1:34" x14ac:dyDescent="0.25">
      <c r="A899" s="347">
        <f t="shared" ca="1" si="383"/>
        <v>1E-4</v>
      </c>
      <c r="B899" s="304">
        <f t="shared" ca="1" si="384"/>
        <v>42.901600000000329</v>
      </c>
      <c r="D899" s="306">
        <f t="shared" ca="1" si="385"/>
        <v>-0.41765862883103455</v>
      </c>
      <c r="E899" s="307">
        <f t="shared" ca="1" si="386"/>
        <v>-1.1035778446897329</v>
      </c>
      <c r="F899" s="304">
        <f t="shared" ca="1" si="387"/>
        <v>1.1799672832443517</v>
      </c>
      <c r="G899" s="306">
        <f t="shared" ca="1" si="388"/>
        <v>6.4633045635839776</v>
      </c>
      <c r="H899" s="307">
        <f t="shared" ca="1" si="389"/>
        <v>-134.73364103483138</v>
      </c>
      <c r="I899" s="304">
        <f t="shared" ca="1" si="390"/>
        <v>134.88857747186913</v>
      </c>
      <c r="J899" s="306">
        <f t="shared" ca="1" si="391"/>
        <v>638.40045476391947</v>
      </c>
      <c r="K899" s="307">
        <f t="shared" ca="1" si="392"/>
        <v>-9.7998386527879457</v>
      </c>
      <c r="L899" s="304">
        <f t="shared" ca="1" si="377"/>
        <v>638.47566710126068</v>
      </c>
      <c r="M899" s="306">
        <f t="shared" ca="1" si="393"/>
        <v>-1.5228620949959535</v>
      </c>
      <c r="N899" s="304">
        <f t="shared" ca="1" si="394"/>
        <v>-87.253570823718775</v>
      </c>
      <c r="P899" s="310">
        <f t="shared" ca="1" si="395"/>
        <v>23</v>
      </c>
      <c r="Q899" s="304">
        <f t="shared" ca="1" si="396"/>
        <v>0</v>
      </c>
      <c r="R899" s="306">
        <f t="shared" ca="1" si="397"/>
        <v>0</v>
      </c>
      <c r="S899" s="307">
        <f t="shared" ca="1" si="398"/>
        <v>10.637999999999975</v>
      </c>
      <c r="T899" s="304">
        <f t="shared" ca="1" si="378"/>
        <v>104.35877999999975</v>
      </c>
      <c r="U899" s="311">
        <f t="shared" ca="1" si="379"/>
        <v>0</v>
      </c>
      <c r="V899" s="306">
        <f t="shared" ca="1" si="380"/>
        <v>1.2262010687489642</v>
      </c>
      <c r="W899" s="304">
        <f t="shared" ca="1" si="381"/>
        <v>92.725700942996994</v>
      </c>
      <c r="Y899" s="314" t="str">
        <f t="shared" ca="1" si="399"/>
        <v/>
      </c>
      <c r="Z899" s="315" t="str">
        <f t="shared" ca="1" si="400"/>
        <v/>
      </c>
      <c r="AA899" s="316" t="str">
        <f t="shared" ca="1" si="401"/>
        <v/>
      </c>
      <c r="AC899" s="310" t="e">
        <f t="shared" ca="1" si="402"/>
        <v>#N/A</v>
      </c>
      <c r="AD899" s="323" t="e">
        <f t="shared" ca="1" si="403"/>
        <v>#N/A</v>
      </c>
      <c r="AE899" s="324" t="e">
        <f t="shared" ca="1" si="382"/>
        <v>#N/A</v>
      </c>
      <c r="AG899" s="306">
        <f t="shared" ca="1" si="404"/>
        <v>1.0822976036919183</v>
      </c>
      <c r="AH899" s="304">
        <f t="shared" ca="1" si="405"/>
        <v>-8.7164342179996126</v>
      </c>
    </row>
    <row r="900" spans="1:34" x14ac:dyDescent="0.25">
      <c r="A900" s="347">
        <f t="shared" ca="1" si="383"/>
        <v>1E-4</v>
      </c>
      <c r="B900" s="304">
        <f t="shared" ca="1" si="384"/>
        <v>42.901700000000332</v>
      </c>
      <c r="D900" s="306">
        <f t="shared" ca="1" si="385"/>
        <v>-0.41765682777535923</v>
      </c>
      <c r="E900" s="307">
        <f t="shared" ca="1" si="386"/>
        <v>-1.1035519971802241</v>
      </c>
      <c r="F900" s="304">
        <f t="shared" ca="1" si="387"/>
        <v>1.1799424715925084</v>
      </c>
      <c r="G900" s="306">
        <f t="shared" ca="1" si="388"/>
        <v>6.4632627979012005</v>
      </c>
      <c r="H900" s="307">
        <f t="shared" ca="1" si="389"/>
        <v>-134.7337513900311</v>
      </c>
      <c r="I900" s="304">
        <f t="shared" ca="1" si="390"/>
        <v>134.88868569908092</v>
      </c>
      <c r="J900" s="306">
        <f t="shared" ca="1" si="391"/>
        <v>638.40045476391947</v>
      </c>
      <c r="K900" s="307">
        <f t="shared" ca="1" si="392"/>
        <v>-9.813312022409189</v>
      </c>
      <c r="L900" s="304">
        <f t="shared" ref="L900:L963" ca="1" si="406">SQRT(pos_x^2+pos_z^2)</f>
        <v>638.47587404351339</v>
      </c>
      <c r="M900" s="306">
        <f t="shared" ca="1" si="393"/>
        <v>-1.5228624434719999</v>
      </c>
      <c r="N900" s="304">
        <f t="shared" ca="1" si="394"/>
        <v>-87.253590789925497</v>
      </c>
      <c r="P900" s="310">
        <f t="shared" ca="1" si="395"/>
        <v>23</v>
      </c>
      <c r="Q900" s="304">
        <f t="shared" ca="1" si="396"/>
        <v>0</v>
      </c>
      <c r="R900" s="306">
        <f t="shared" ca="1" si="397"/>
        <v>0</v>
      </c>
      <c r="S900" s="307">
        <f t="shared" ca="1" si="398"/>
        <v>10.637999999999975</v>
      </c>
      <c r="T900" s="304">
        <f t="shared" ref="T900:T963" ca="1" si="407">m*g</f>
        <v>104.35877999999975</v>
      </c>
      <c r="U900" s="311">
        <f t="shared" ref="U900:U963" ca="1" si="408">IF(pos_xz&lt;L_rampe,Poids*COS(Beta),0)</f>
        <v>0</v>
      </c>
      <c r="V900" s="306">
        <f t="shared" ref="V900:V963" ca="1" si="409">Rho_moyen*(20000-Alt_rampe-pos_z)/(20000+Alt_rampe+pos_z)</f>
        <v>1.2262027208564972</v>
      </c>
      <c r="W900" s="304">
        <f t="shared" ref="W900:W963" ca="1" si="410">1/2*Rho*Sref*Cx*vit_xz^2</f>
        <v>92.725974672190233</v>
      </c>
      <c r="Y900" s="314" t="str">
        <f t="shared" ca="1" si="399"/>
        <v/>
      </c>
      <c r="Z900" s="315" t="str">
        <f t="shared" ca="1" si="400"/>
        <v/>
      </c>
      <c r="AA900" s="316" t="str">
        <f t="shared" ca="1" si="401"/>
        <v/>
      </c>
      <c r="AC900" s="310" t="e">
        <f t="shared" ca="1" si="402"/>
        <v>#N/A</v>
      </c>
      <c r="AD900" s="323" t="e">
        <f t="shared" ca="1" si="403"/>
        <v>#N/A</v>
      </c>
      <c r="AE900" s="324" t="e">
        <f t="shared" ref="AE900:AE963" ca="1" si="411">IF(t&lt;T_para, pos_z, NA())</f>
        <v>#N/A</v>
      </c>
      <c r="AG900" s="306">
        <f t="shared" ca="1" si="404"/>
        <v>1.0822720359759455</v>
      </c>
      <c r="AH900" s="304">
        <f t="shared" ca="1" si="405"/>
        <v>-8.7164599495203241</v>
      </c>
    </row>
    <row r="901" spans="1:34" x14ac:dyDescent="0.25">
      <c r="A901" s="347">
        <f t="shared" ref="A901:A964" ca="1" si="412">IF(B900+0.01&lt;=T_ini+ROUNDUP(Temps_fin_propu,0), 0.01, IF(K900&gt;0, 0.1, 0.0001))</f>
        <v>1E-4</v>
      </c>
      <c r="B901" s="304">
        <f t="shared" ref="B901:B964" ca="1" si="413">B900+pas</f>
        <v>42.901800000000335</v>
      </c>
      <c r="D901" s="306">
        <f t="shared" ref="D901:D964" ca="1" si="414">IF(AND(L900&lt;L_rampe,Poussee&lt;Poids*SIN(M900)),0,(-W900+Poussee)/m*COS(M900)-U900/m*SIN(M900))</f>
        <v>-0.41765502671392496</v>
      </c>
      <c r="E901" s="307">
        <f t="shared" ref="E901:E964" ca="1" si="415">IF(AND(L900&lt;L_rampe,Poussee&lt;Poids*SIN(M900)),0,(-W900+Poussee)/m*SIN(M900)+U900/m*COS(M900)-Poids/m)</f>
        <v>-1.1035261499278644</v>
      </c>
      <c r="F901" s="304">
        <f t="shared" ref="F901:F964" ca="1" si="416">SQRT(acc_x^2+acc_z^2)</f>
        <v>1.1799176602263501</v>
      </c>
      <c r="G901" s="306">
        <f t="shared" ref="G901:G964" ca="1" si="417">G900+acc_x*pas</f>
        <v>6.4632210323985291</v>
      </c>
      <c r="H901" s="307">
        <f t="shared" ref="H901:H964" ca="1" si="418">H900+acc_z*pas</f>
        <v>-134.7338617426461</v>
      </c>
      <c r="I901" s="304">
        <f t="shared" ref="I901:I964" ca="1" si="419">SQRT(vit_x^2+vit_z^2)</f>
        <v>134.88879392373596</v>
      </c>
      <c r="J901" s="306">
        <f t="shared" ref="J901:J964" ca="1" si="420">J900+0.5*(vit_x+G900)*pas*(K900&gt;=0)</f>
        <v>638.40045476391947</v>
      </c>
      <c r="K901" s="307">
        <f t="shared" ref="K901:K964" ca="1" si="421">K900+0.5*(vit_z+H900)*pas</f>
        <v>-9.8267854030658235</v>
      </c>
      <c r="L901" s="304">
        <f t="shared" ca="1" si="406"/>
        <v>638.47608127018907</v>
      </c>
      <c r="M901" s="306">
        <f t="shared" ref="M901:M964" ca="1" si="422">IF(AND(L900&gt;L_rampe,G901&gt;0),ATAN2(G901,H901),$M$4)</f>
        <v>-1.5228627919452353</v>
      </c>
      <c r="N901" s="304">
        <f t="shared" ref="N901:N964" ca="1" si="423">DEGREES(Beta)</f>
        <v>-87.253610755971167</v>
      </c>
      <c r="P901" s="310">
        <f t="shared" ref="P901:P964" ca="1" si="424">MATCH(t-pas/2-T_ini,CdP_t)</f>
        <v>23</v>
      </c>
      <c r="Q901" s="304">
        <f t="shared" ref="Q901:Q964" ca="1" si="425">(INDEX(CdP,2,i_P+1)-INDEX(CdP,2,i_P+0))/(INDEX(CdP,1,i_P+1)-INDEX(CdP,1,i_P+0))*(t-pas/2-T_ini-INDEX(CdP,1,i_P+0))+INDEX(CdP,2,i_P+0)</f>
        <v>0</v>
      </c>
      <c r="R901" s="306">
        <f t="shared" ref="R901:R964" ca="1" si="426">Poussee/(g*ISP)</f>
        <v>0</v>
      </c>
      <c r="S901" s="307">
        <f t="shared" ref="S901:S964" ca="1" si="427">S900-Débit*pas</f>
        <v>10.637999999999975</v>
      </c>
      <c r="T901" s="304">
        <f t="shared" ca="1" si="407"/>
        <v>104.35877999999975</v>
      </c>
      <c r="U901" s="311">
        <f t="shared" ca="1" si="408"/>
        <v>0</v>
      </c>
      <c r="V901" s="306">
        <f t="shared" ca="1" si="409"/>
        <v>1.2262043729676109</v>
      </c>
      <c r="W901" s="304">
        <f t="shared" ca="1" si="410"/>
        <v>92.726248398659465</v>
      </c>
      <c r="Y901" s="314" t="str">
        <f t="shared" ref="Y901:Y964" ca="1" si="428">IF(AND(pos_z&lt;=0,K900&gt;0),"Impact balistique","") &amp; IF(AND(H902&lt;0,vit_z&gt;=0),"Apogée","") &amp; IF(AND(Poussee=0,Q900&gt;0),"Fin de propulsion","") &amp; IF(AND(L902&gt;L_rampe,pos_xz&lt;=L_rampe),"Sortie de rampe","")</f>
        <v/>
      </c>
      <c r="Z901" s="315" t="str">
        <f t="shared" ref="Z901:Z964" ca="1" si="429">IF(ABS(t-T_para)&lt;pas/2,"Para","")</f>
        <v/>
      </c>
      <c r="AA901" s="316" t="str">
        <f t="shared" ref="AA901:AA964" ca="1" si="430">IF(ABS(t-T_satellite)&lt;pas/2,"Satellite","")</f>
        <v/>
      </c>
      <c r="AC901" s="310" t="e">
        <f t="shared" ref="AC901:AC964" ca="1" si="431">IF(ABS(t-ROUND(t,0))&lt;0.001,t,NA())</f>
        <v>#N/A</v>
      </c>
      <c r="AD901" s="323" t="e">
        <f t="shared" ref="AD901:AD964" ca="1" si="432">IF(ABS(t-ROUND(t,0))&lt;0.001,pos_x,NA())</f>
        <v>#N/A</v>
      </c>
      <c r="AE901" s="324" t="e">
        <f t="shared" ca="1" si="411"/>
        <v>#N/A</v>
      </c>
      <c r="AG901" s="306">
        <f t="shared" ref="AG901:AG964" ca="1" si="433">IF(AND(L900&lt;L_rampe,Poussee&lt;Poids*SIN(M900)),0,(-W900+Poussee)/m-Poids*SIN(M900)/m)</f>
        <v>1.0822464685135333</v>
      </c>
      <c r="AH901" s="304">
        <f t="shared" ref="AH901:AH964" ca="1" si="434">IF(AND(L900&lt;L_rampe,Poussee&lt;Poids*SIN(M900)), g*SIN(M900), (-W900+Poussee)/m)</f>
        <v>-8.7164856807849649</v>
      </c>
    </row>
    <row r="902" spans="1:34" x14ac:dyDescent="0.25">
      <c r="A902" s="347">
        <f t="shared" ca="1" si="412"/>
        <v>1E-4</v>
      </c>
      <c r="B902" s="304">
        <f t="shared" ca="1" si="413"/>
        <v>42.901900000000339</v>
      </c>
      <c r="D902" s="306">
        <f t="shared" ca="1" si="414"/>
        <v>-0.41765322564673235</v>
      </c>
      <c r="E902" s="307">
        <f t="shared" ca="1" si="415"/>
        <v>-1.1035003029326482</v>
      </c>
      <c r="F902" s="304">
        <f t="shared" ca="1" si="416"/>
        <v>1.1798928491458733</v>
      </c>
      <c r="G902" s="306">
        <f t="shared" ca="1" si="417"/>
        <v>6.4631792670759642</v>
      </c>
      <c r="H902" s="307">
        <f t="shared" ca="1" si="418"/>
        <v>-134.7339720926764</v>
      </c>
      <c r="I902" s="304">
        <f t="shared" ca="1" si="419"/>
        <v>134.88890214583429</v>
      </c>
      <c r="J902" s="306">
        <f t="shared" ca="1" si="420"/>
        <v>638.40045476391947</v>
      </c>
      <c r="K902" s="307">
        <f t="shared" ca="1" si="421"/>
        <v>-9.8402587947575899</v>
      </c>
      <c r="L902" s="304">
        <f t="shared" ca="1" si="406"/>
        <v>638.47628878128819</v>
      </c>
      <c r="M902" s="306">
        <f t="shared" ca="1" si="422"/>
        <v>-1.5228631404156596</v>
      </c>
      <c r="N902" s="304">
        <f t="shared" ca="1" si="423"/>
        <v>-87.253630721855757</v>
      </c>
      <c r="P902" s="310">
        <f t="shared" ca="1" si="424"/>
        <v>23</v>
      </c>
      <c r="Q902" s="304">
        <f t="shared" ca="1" si="425"/>
        <v>0</v>
      </c>
      <c r="R902" s="306">
        <f t="shared" ca="1" si="426"/>
        <v>0</v>
      </c>
      <c r="S902" s="307">
        <f t="shared" ca="1" si="427"/>
        <v>10.637999999999975</v>
      </c>
      <c r="T902" s="304">
        <f t="shared" ca="1" si="407"/>
        <v>104.35877999999975</v>
      </c>
      <c r="U902" s="311">
        <f t="shared" ca="1" si="408"/>
        <v>0</v>
      </c>
      <c r="V902" s="306">
        <f t="shared" ca="1" si="409"/>
        <v>1.2262060250823039</v>
      </c>
      <c r="W902" s="304">
        <f t="shared" ca="1" si="410"/>
        <v>92.726522122404575</v>
      </c>
      <c r="Y902" s="314" t="str">
        <f t="shared" ca="1" si="428"/>
        <v/>
      </c>
      <c r="Z902" s="315" t="str">
        <f t="shared" ca="1" si="429"/>
        <v/>
      </c>
      <c r="AA902" s="316" t="str">
        <f t="shared" ca="1" si="430"/>
        <v/>
      </c>
      <c r="AC902" s="310" t="e">
        <f t="shared" ca="1" si="431"/>
        <v>#N/A</v>
      </c>
      <c r="AD902" s="323" t="e">
        <f t="shared" ca="1" si="432"/>
        <v>#N/A</v>
      </c>
      <c r="AE902" s="324" t="e">
        <f t="shared" ca="1" si="411"/>
        <v>#N/A</v>
      </c>
      <c r="AG902" s="306">
        <f t="shared" ca="1" si="433"/>
        <v>1.0822209013046784</v>
      </c>
      <c r="AH902" s="304">
        <f t="shared" ca="1" si="434"/>
        <v>-8.7165114117935403</v>
      </c>
    </row>
    <row r="903" spans="1:34" x14ac:dyDescent="0.25">
      <c r="A903" s="347">
        <f t="shared" ca="1" si="412"/>
        <v>1E-4</v>
      </c>
      <c r="B903" s="304">
        <f t="shared" ca="1" si="413"/>
        <v>42.902000000000342</v>
      </c>
      <c r="D903" s="306">
        <f t="shared" ca="1" si="414"/>
        <v>-0.41765142457378152</v>
      </c>
      <c r="E903" s="307">
        <f t="shared" ca="1" si="415"/>
        <v>-1.1034744561945846</v>
      </c>
      <c r="F903" s="304">
        <f t="shared" ca="1" si="416"/>
        <v>1.1798680383510876</v>
      </c>
      <c r="G903" s="306">
        <f t="shared" ca="1" si="417"/>
        <v>6.4631375019335069</v>
      </c>
      <c r="H903" s="307">
        <f t="shared" ca="1" si="418"/>
        <v>-134.73408244012202</v>
      </c>
      <c r="I903" s="304">
        <f t="shared" ca="1" si="419"/>
        <v>134.88901036537592</v>
      </c>
      <c r="J903" s="306">
        <f t="shared" ca="1" si="420"/>
        <v>638.40045476391947</v>
      </c>
      <c r="K903" s="307">
        <f t="shared" ca="1" si="421"/>
        <v>-9.8537321974842307</v>
      </c>
      <c r="L903" s="304">
        <f t="shared" ca="1" si="406"/>
        <v>638.47649657681131</v>
      </c>
      <c r="M903" s="306">
        <f t="shared" ca="1" si="422"/>
        <v>-1.5228634888832731</v>
      </c>
      <c r="N903" s="304">
        <f t="shared" ca="1" si="423"/>
        <v>-87.253650687579309</v>
      </c>
      <c r="P903" s="310">
        <f t="shared" ca="1" si="424"/>
        <v>23</v>
      </c>
      <c r="Q903" s="304">
        <f t="shared" ca="1" si="425"/>
        <v>0</v>
      </c>
      <c r="R903" s="306">
        <f t="shared" ca="1" si="426"/>
        <v>0</v>
      </c>
      <c r="S903" s="307">
        <f t="shared" ca="1" si="427"/>
        <v>10.637999999999975</v>
      </c>
      <c r="T903" s="304">
        <f t="shared" ca="1" si="407"/>
        <v>104.35877999999975</v>
      </c>
      <c r="U903" s="311">
        <f t="shared" ca="1" si="408"/>
        <v>0</v>
      </c>
      <c r="V903" s="306">
        <f t="shared" ca="1" si="409"/>
        <v>1.2262076772005774</v>
      </c>
      <c r="W903" s="304">
        <f t="shared" ca="1" si="410"/>
        <v>92.726795843425677</v>
      </c>
      <c r="Y903" s="314" t="str">
        <f t="shared" ca="1" si="428"/>
        <v/>
      </c>
      <c r="Z903" s="315" t="str">
        <f t="shared" ca="1" si="429"/>
        <v/>
      </c>
      <c r="AA903" s="316" t="str">
        <f t="shared" ca="1" si="430"/>
        <v/>
      </c>
      <c r="AC903" s="310" t="e">
        <f t="shared" ca="1" si="431"/>
        <v>#N/A</v>
      </c>
      <c r="AD903" s="323" t="e">
        <f t="shared" ca="1" si="432"/>
        <v>#N/A</v>
      </c>
      <c r="AE903" s="324" t="e">
        <f t="shared" ca="1" si="411"/>
        <v>#N/A</v>
      </c>
      <c r="AG903" s="306">
        <f t="shared" ca="1" si="433"/>
        <v>1.0821953343493824</v>
      </c>
      <c r="AH903" s="304">
        <f t="shared" ca="1" si="434"/>
        <v>-8.7165371425460414</v>
      </c>
    </row>
    <row r="904" spans="1:34" x14ac:dyDescent="0.25">
      <c r="A904" s="347">
        <f t="shared" ca="1" si="412"/>
        <v>1E-4</v>
      </c>
      <c r="B904" s="304">
        <f t="shared" ca="1" si="413"/>
        <v>42.902100000000345</v>
      </c>
      <c r="D904" s="306">
        <f t="shared" ca="1" si="414"/>
        <v>-0.41764962349507145</v>
      </c>
      <c r="E904" s="307">
        <f t="shared" ca="1" si="415"/>
        <v>-1.1034486097136611</v>
      </c>
      <c r="F904" s="304">
        <f t="shared" ca="1" si="416"/>
        <v>1.1798432278419817</v>
      </c>
      <c r="G904" s="306">
        <f t="shared" ca="1" si="417"/>
        <v>6.463095736971157</v>
      </c>
      <c r="H904" s="307">
        <f t="shared" ca="1" si="418"/>
        <v>-134.73419278498301</v>
      </c>
      <c r="I904" s="304">
        <f t="shared" ca="1" si="419"/>
        <v>134.88911858236091</v>
      </c>
      <c r="J904" s="306">
        <f t="shared" ca="1" si="420"/>
        <v>638.40045476391947</v>
      </c>
      <c r="K904" s="307">
        <f t="shared" ca="1" si="421"/>
        <v>-9.8672056112454865</v>
      </c>
      <c r="L904" s="304">
        <f t="shared" ca="1" si="406"/>
        <v>638.47670465675856</v>
      </c>
      <c r="M904" s="306">
        <f t="shared" ca="1" si="422"/>
        <v>-1.5228638373480754</v>
      </c>
      <c r="N904" s="304">
        <f t="shared" ca="1" si="423"/>
        <v>-87.253670653141796</v>
      </c>
      <c r="P904" s="310">
        <f t="shared" ca="1" si="424"/>
        <v>23</v>
      </c>
      <c r="Q904" s="304">
        <f t="shared" ca="1" si="425"/>
        <v>0</v>
      </c>
      <c r="R904" s="306">
        <f t="shared" ca="1" si="426"/>
        <v>0</v>
      </c>
      <c r="S904" s="307">
        <f t="shared" ca="1" si="427"/>
        <v>10.637999999999975</v>
      </c>
      <c r="T904" s="304">
        <f t="shared" ca="1" si="407"/>
        <v>104.35877999999975</v>
      </c>
      <c r="U904" s="311">
        <f t="shared" ca="1" si="408"/>
        <v>0</v>
      </c>
      <c r="V904" s="306">
        <f t="shared" ca="1" si="409"/>
        <v>1.2262093293224314</v>
      </c>
      <c r="W904" s="304">
        <f t="shared" ca="1" si="410"/>
        <v>92.727069561722757</v>
      </c>
      <c r="Y904" s="314" t="str">
        <f t="shared" ca="1" si="428"/>
        <v/>
      </c>
      <c r="Z904" s="315" t="str">
        <f t="shared" ca="1" si="429"/>
        <v/>
      </c>
      <c r="AA904" s="316" t="str">
        <f t="shared" ca="1" si="430"/>
        <v/>
      </c>
      <c r="AC904" s="310" t="e">
        <f t="shared" ca="1" si="431"/>
        <v>#N/A</v>
      </c>
      <c r="AD904" s="323" t="e">
        <f t="shared" ca="1" si="432"/>
        <v>#N/A</v>
      </c>
      <c r="AE904" s="324" t="e">
        <f t="shared" ca="1" si="411"/>
        <v>#N/A</v>
      </c>
      <c r="AG904" s="306">
        <f t="shared" ca="1" si="433"/>
        <v>1.0821697676476401</v>
      </c>
      <c r="AH904" s="304">
        <f t="shared" ca="1" si="434"/>
        <v>-8.7165628730424789</v>
      </c>
    </row>
    <row r="905" spans="1:34" x14ac:dyDescent="0.25">
      <c r="A905" s="347">
        <f t="shared" ca="1" si="412"/>
        <v>1E-4</v>
      </c>
      <c r="B905" s="304">
        <f t="shared" ca="1" si="413"/>
        <v>42.902200000000349</v>
      </c>
      <c r="D905" s="306">
        <f t="shared" ca="1" si="414"/>
        <v>-0.41764782241060461</v>
      </c>
      <c r="E905" s="307">
        <f t="shared" ca="1" si="415"/>
        <v>-1.103422763489883</v>
      </c>
      <c r="F905" s="304">
        <f t="shared" ca="1" si="416"/>
        <v>1.1798184176185631</v>
      </c>
      <c r="G905" s="306">
        <f t="shared" ca="1" si="417"/>
        <v>6.4630539721889155</v>
      </c>
      <c r="H905" s="307">
        <f t="shared" ca="1" si="418"/>
        <v>-134.73430312725935</v>
      </c>
      <c r="I905" s="304">
        <f t="shared" ca="1" si="419"/>
        <v>134.88922679678922</v>
      </c>
      <c r="J905" s="306">
        <f t="shared" ca="1" si="420"/>
        <v>638.40045476391947</v>
      </c>
      <c r="K905" s="307">
        <f t="shared" ca="1" si="421"/>
        <v>-9.8806790360410979</v>
      </c>
      <c r="L905" s="304">
        <f t="shared" ca="1" si="406"/>
        <v>638.4769130211306</v>
      </c>
      <c r="M905" s="306">
        <f t="shared" ca="1" si="422"/>
        <v>-1.5228641858100671</v>
      </c>
      <c r="N905" s="304">
        <f t="shared" ca="1" si="423"/>
        <v>-87.253690618543231</v>
      </c>
      <c r="P905" s="310">
        <f t="shared" ca="1" si="424"/>
        <v>23</v>
      </c>
      <c r="Q905" s="304">
        <f t="shared" ca="1" si="425"/>
        <v>0</v>
      </c>
      <c r="R905" s="306">
        <f t="shared" ca="1" si="426"/>
        <v>0</v>
      </c>
      <c r="S905" s="307">
        <f t="shared" ca="1" si="427"/>
        <v>10.637999999999975</v>
      </c>
      <c r="T905" s="304">
        <f t="shared" ca="1" si="407"/>
        <v>104.35877999999975</v>
      </c>
      <c r="U905" s="311">
        <f t="shared" ca="1" si="408"/>
        <v>0</v>
      </c>
      <c r="V905" s="306">
        <f t="shared" ca="1" si="409"/>
        <v>1.2262109814478652</v>
      </c>
      <c r="W905" s="304">
        <f t="shared" ca="1" si="410"/>
        <v>92.727343277295773</v>
      </c>
      <c r="Y905" s="314" t="str">
        <f t="shared" ca="1" si="428"/>
        <v/>
      </c>
      <c r="Z905" s="315" t="str">
        <f t="shared" ca="1" si="429"/>
        <v/>
      </c>
      <c r="AA905" s="316" t="str">
        <f t="shared" ca="1" si="430"/>
        <v/>
      </c>
      <c r="AC905" s="310" t="e">
        <f t="shared" ca="1" si="431"/>
        <v>#N/A</v>
      </c>
      <c r="AD905" s="323" t="e">
        <f t="shared" ca="1" si="432"/>
        <v>#N/A</v>
      </c>
      <c r="AE905" s="324" t="e">
        <f t="shared" ca="1" si="411"/>
        <v>#N/A</v>
      </c>
      <c r="AG905" s="306">
        <f t="shared" ca="1" si="433"/>
        <v>1.0821442011994531</v>
      </c>
      <c r="AH905" s="304">
        <f t="shared" ca="1" si="434"/>
        <v>-8.716588603282851</v>
      </c>
    </row>
    <row r="906" spans="1:34" x14ac:dyDescent="0.25">
      <c r="A906" s="347">
        <f t="shared" ca="1" si="412"/>
        <v>1E-4</v>
      </c>
      <c r="B906" s="304">
        <f t="shared" ca="1" si="413"/>
        <v>42.902300000000352</v>
      </c>
      <c r="D906" s="306">
        <f t="shared" ca="1" si="414"/>
        <v>-0.41764602132037731</v>
      </c>
      <c r="E906" s="307">
        <f t="shared" ca="1" si="415"/>
        <v>-1.1033969175232503</v>
      </c>
      <c r="F906" s="304">
        <f t="shared" ca="1" si="416"/>
        <v>1.1797936076808315</v>
      </c>
      <c r="G906" s="306">
        <f t="shared" ca="1" si="417"/>
        <v>6.4630122075867833</v>
      </c>
      <c r="H906" s="307">
        <f t="shared" ca="1" si="418"/>
        <v>-134.73441346695111</v>
      </c>
      <c r="I906" s="304">
        <f t="shared" ca="1" si="419"/>
        <v>134.88933500866091</v>
      </c>
      <c r="J906" s="306">
        <f t="shared" ca="1" si="420"/>
        <v>638.40045476391947</v>
      </c>
      <c r="K906" s="307">
        <f t="shared" ca="1" si="421"/>
        <v>-9.8941524718708092</v>
      </c>
      <c r="L906" s="304">
        <f t="shared" ca="1" si="406"/>
        <v>638.47712166992778</v>
      </c>
      <c r="M906" s="306">
        <f t="shared" ca="1" si="422"/>
        <v>-1.5228645342692477</v>
      </c>
      <c r="N906" s="304">
        <f t="shared" ca="1" si="423"/>
        <v>-87.253710583783615</v>
      </c>
      <c r="P906" s="310">
        <f t="shared" ca="1" si="424"/>
        <v>23</v>
      </c>
      <c r="Q906" s="304">
        <f t="shared" ca="1" si="425"/>
        <v>0</v>
      </c>
      <c r="R906" s="306">
        <f t="shared" ca="1" si="426"/>
        <v>0</v>
      </c>
      <c r="S906" s="307">
        <f t="shared" ca="1" si="427"/>
        <v>10.637999999999975</v>
      </c>
      <c r="T906" s="304">
        <f t="shared" ca="1" si="407"/>
        <v>104.35877999999975</v>
      </c>
      <c r="U906" s="311">
        <f t="shared" ca="1" si="408"/>
        <v>0</v>
      </c>
      <c r="V906" s="306">
        <f t="shared" ca="1" si="409"/>
        <v>1.2262126335768795</v>
      </c>
      <c r="W906" s="304">
        <f t="shared" ca="1" si="410"/>
        <v>92.727616990144796</v>
      </c>
      <c r="Y906" s="314" t="str">
        <f t="shared" ca="1" si="428"/>
        <v/>
      </c>
      <c r="Z906" s="315" t="str">
        <f t="shared" ca="1" si="429"/>
        <v/>
      </c>
      <c r="AA906" s="316" t="str">
        <f t="shared" ca="1" si="430"/>
        <v/>
      </c>
      <c r="AC906" s="310" t="e">
        <f t="shared" ca="1" si="431"/>
        <v>#N/A</v>
      </c>
      <c r="AD906" s="323" t="e">
        <f t="shared" ca="1" si="432"/>
        <v>#N/A</v>
      </c>
      <c r="AE906" s="324" t="e">
        <f t="shared" ca="1" si="411"/>
        <v>#N/A</v>
      </c>
      <c r="AG906" s="306">
        <f t="shared" ca="1" si="433"/>
        <v>1.0821186350048233</v>
      </c>
      <c r="AH906" s="304">
        <f t="shared" ca="1" si="434"/>
        <v>-8.7166143332671542</v>
      </c>
    </row>
    <row r="907" spans="1:34" x14ac:dyDescent="0.25">
      <c r="A907" s="347">
        <f t="shared" ca="1" si="412"/>
        <v>1E-4</v>
      </c>
      <c r="B907" s="304">
        <f t="shared" ca="1" si="413"/>
        <v>42.902400000000355</v>
      </c>
      <c r="D907" s="306">
        <f t="shared" ca="1" si="414"/>
        <v>-0.4176442202243944</v>
      </c>
      <c r="E907" s="307">
        <f t="shared" ca="1" si="415"/>
        <v>-1.1033710718137577</v>
      </c>
      <c r="F907" s="304">
        <f t="shared" ca="1" si="416"/>
        <v>1.1797687980287845</v>
      </c>
      <c r="G907" s="306">
        <f t="shared" ca="1" si="417"/>
        <v>6.4629704431647612</v>
      </c>
      <c r="H907" s="307">
        <f t="shared" ca="1" si="418"/>
        <v>-134.73452380405828</v>
      </c>
      <c r="I907" s="304">
        <f t="shared" ca="1" si="419"/>
        <v>134.88944321797601</v>
      </c>
      <c r="J907" s="306">
        <f t="shared" ca="1" si="420"/>
        <v>638.40045476391947</v>
      </c>
      <c r="K907" s="307">
        <f t="shared" ca="1" si="421"/>
        <v>-9.9076259187343592</v>
      </c>
      <c r="L907" s="304">
        <f t="shared" ca="1" si="406"/>
        <v>638.47733060315056</v>
      </c>
      <c r="M907" s="306">
        <f t="shared" ca="1" si="422"/>
        <v>-1.5228648827256177</v>
      </c>
      <c r="N907" s="304">
        <f t="shared" ca="1" si="423"/>
        <v>-87.253730548862961</v>
      </c>
      <c r="P907" s="310">
        <f t="shared" ca="1" si="424"/>
        <v>23</v>
      </c>
      <c r="Q907" s="304">
        <f t="shared" ca="1" si="425"/>
        <v>0</v>
      </c>
      <c r="R907" s="306">
        <f t="shared" ca="1" si="426"/>
        <v>0</v>
      </c>
      <c r="S907" s="307">
        <f t="shared" ca="1" si="427"/>
        <v>10.637999999999975</v>
      </c>
      <c r="T907" s="304">
        <f t="shared" ca="1" si="407"/>
        <v>104.35877999999975</v>
      </c>
      <c r="U907" s="311">
        <f t="shared" ca="1" si="408"/>
        <v>0</v>
      </c>
      <c r="V907" s="306">
        <f t="shared" ca="1" si="409"/>
        <v>1.2262142857094736</v>
      </c>
      <c r="W907" s="304">
        <f t="shared" ca="1" si="410"/>
        <v>92.727890700269796</v>
      </c>
      <c r="Y907" s="314" t="str">
        <f t="shared" ca="1" si="428"/>
        <v/>
      </c>
      <c r="Z907" s="315" t="str">
        <f t="shared" ca="1" si="429"/>
        <v/>
      </c>
      <c r="AA907" s="316" t="str">
        <f t="shared" ca="1" si="430"/>
        <v/>
      </c>
      <c r="AC907" s="310" t="e">
        <f t="shared" ca="1" si="431"/>
        <v>#N/A</v>
      </c>
      <c r="AD907" s="323" t="e">
        <f t="shared" ca="1" si="432"/>
        <v>#N/A</v>
      </c>
      <c r="AE907" s="324" t="e">
        <f t="shared" ca="1" si="411"/>
        <v>#N/A</v>
      </c>
      <c r="AG907" s="306">
        <f t="shared" ca="1" si="433"/>
        <v>1.0820930690637454</v>
      </c>
      <c r="AH907" s="304">
        <f t="shared" ca="1" si="434"/>
        <v>-8.7166400629953955</v>
      </c>
    </row>
    <row r="908" spans="1:34" x14ac:dyDescent="0.25">
      <c r="A908" s="347">
        <f t="shared" ca="1" si="412"/>
        <v>1E-4</v>
      </c>
      <c r="B908" s="304">
        <f t="shared" ca="1" si="413"/>
        <v>42.902500000000359</v>
      </c>
      <c r="D908" s="306">
        <f t="shared" ca="1" si="414"/>
        <v>-0.41764241912265215</v>
      </c>
      <c r="E908" s="307">
        <f t="shared" ca="1" si="415"/>
        <v>-1.1033452263614105</v>
      </c>
      <c r="F908" s="304">
        <f t="shared" ca="1" si="416"/>
        <v>1.1797439886624272</v>
      </c>
      <c r="G908" s="306">
        <f t="shared" ca="1" si="417"/>
        <v>6.4629286789228493</v>
      </c>
      <c r="H908" s="307">
        <f t="shared" ca="1" si="418"/>
        <v>-134.73463413858093</v>
      </c>
      <c r="I908" s="304">
        <f t="shared" ca="1" si="419"/>
        <v>134.88955142473452</v>
      </c>
      <c r="J908" s="306">
        <f t="shared" ca="1" si="420"/>
        <v>638.40045476391947</v>
      </c>
      <c r="K908" s="307">
        <f t="shared" ca="1" si="421"/>
        <v>-9.9210993766314903</v>
      </c>
      <c r="L908" s="304">
        <f t="shared" ca="1" si="406"/>
        <v>638.47753982079917</v>
      </c>
      <c r="M908" s="306">
        <f t="shared" ca="1" si="422"/>
        <v>-1.5228652311791766</v>
      </c>
      <c r="N908" s="304">
        <f t="shared" ca="1" si="423"/>
        <v>-87.253750513781242</v>
      </c>
      <c r="P908" s="310">
        <f t="shared" ca="1" si="424"/>
        <v>23</v>
      </c>
      <c r="Q908" s="304">
        <f t="shared" ca="1" si="425"/>
        <v>0</v>
      </c>
      <c r="R908" s="306">
        <f t="shared" ca="1" si="426"/>
        <v>0</v>
      </c>
      <c r="S908" s="307">
        <f t="shared" ca="1" si="427"/>
        <v>10.637999999999975</v>
      </c>
      <c r="T908" s="304">
        <f t="shared" ca="1" si="407"/>
        <v>104.35877999999975</v>
      </c>
      <c r="U908" s="311">
        <f t="shared" ca="1" si="408"/>
        <v>0</v>
      </c>
      <c r="V908" s="306">
        <f t="shared" ca="1" si="409"/>
        <v>1.2262159378456476</v>
      </c>
      <c r="W908" s="304">
        <f t="shared" ca="1" si="410"/>
        <v>92.728164407670789</v>
      </c>
      <c r="Y908" s="314" t="str">
        <f t="shared" ca="1" si="428"/>
        <v/>
      </c>
      <c r="Z908" s="315" t="str">
        <f t="shared" ca="1" si="429"/>
        <v/>
      </c>
      <c r="AA908" s="316" t="str">
        <f t="shared" ca="1" si="430"/>
        <v/>
      </c>
      <c r="AC908" s="310" t="e">
        <f t="shared" ca="1" si="431"/>
        <v>#N/A</v>
      </c>
      <c r="AD908" s="323" t="e">
        <f t="shared" ca="1" si="432"/>
        <v>#N/A</v>
      </c>
      <c r="AE908" s="324" t="e">
        <f t="shared" ca="1" si="411"/>
        <v>#N/A</v>
      </c>
      <c r="AG908" s="306">
        <f t="shared" ca="1" si="433"/>
        <v>1.082067503376221</v>
      </c>
      <c r="AH908" s="304">
        <f t="shared" ca="1" si="434"/>
        <v>-8.7166657924675697</v>
      </c>
    </row>
    <row r="909" spans="1:34" x14ac:dyDescent="0.25">
      <c r="A909" s="347">
        <f t="shared" ca="1" si="412"/>
        <v>1E-4</v>
      </c>
      <c r="B909" s="304">
        <f t="shared" ca="1" si="413"/>
        <v>42.902600000000362</v>
      </c>
      <c r="D909" s="306">
        <f t="shared" ca="1" si="414"/>
        <v>-0.41764061801515517</v>
      </c>
      <c r="E909" s="307">
        <f t="shared" ca="1" si="415"/>
        <v>-1.1033193811662017</v>
      </c>
      <c r="F909" s="304">
        <f t="shared" ca="1" si="416"/>
        <v>1.1797191795817559</v>
      </c>
      <c r="G909" s="306">
        <f t="shared" ca="1" si="417"/>
        <v>6.4628869148610475</v>
      </c>
      <c r="H909" s="307">
        <f t="shared" ca="1" si="418"/>
        <v>-134.73474447051905</v>
      </c>
      <c r="I909" s="304">
        <f t="shared" ca="1" si="419"/>
        <v>134.8896596289365</v>
      </c>
      <c r="J909" s="306">
        <f t="shared" ca="1" si="420"/>
        <v>638.40045476391947</v>
      </c>
      <c r="K909" s="307">
        <f t="shared" ca="1" si="421"/>
        <v>-9.9345728455619451</v>
      </c>
      <c r="L909" s="304">
        <f t="shared" ca="1" si="406"/>
        <v>638.47774932287416</v>
      </c>
      <c r="M909" s="306">
        <f t="shared" ca="1" si="422"/>
        <v>-1.5228655796299249</v>
      </c>
      <c r="N909" s="304">
        <f t="shared" ca="1" si="423"/>
        <v>-87.253770478538485</v>
      </c>
      <c r="P909" s="310">
        <f t="shared" ca="1" si="424"/>
        <v>23</v>
      </c>
      <c r="Q909" s="304">
        <f t="shared" ca="1" si="425"/>
        <v>0</v>
      </c>
      <c r="R909" s="306">
        <f t="shared" ca="1" si="426"/>
        <v>0</v>
      </c>
      <c r="S909" s="307">
        <f t="shared" ca="1" si="427"/>
        <v>10.637999999999975</v>
      </c>
      <c r="T909" s="304">
        <f t="shared" ca="1" si="407"/>
        <v>104.35877999999975</v>
      </c>
      <c r="U909" s="311">
        <f t="shared" ca="1" si="408"/>
        <v>0</v>
      </c>
      <c r="V909" s="306">
        <f t="shared" ca="1" si="409"/>
        <v>1.2262175899854018</v>
      </c>
      <c r="W909" s="304">
        <f t="shared" ca="1" si="410"/>
        <v>92.728438112347817</v>
      </c>
      <c r="Y909" s="314" t="str">
        <f t="shared" ca="1" si="428"/>
        <v/>
      </c>
      <c r="Z909" s="315" t="str">
        <f t="shared" ca="1" si="429"/>
        <v/>
      </c>
      <c r="AA909" s="316" t="str">
        <f t="shared" ca="1" si="430"/>
        <v/>
      </c>
      <c r="AC909" s="310" t="e">
        <f t="shared" ca="1" si="431"/>
        <v>#N/A</v>
      </c>
      <c r="AD909" s="323" t="e">
        <f t="shared" ca="1" si="432"/>
        <v>#N/A</v>
      </c>
      <c r="AE909" s="324" t="e">
        <f t="shared" ca="1" si="411"/>
        <v>#N/A</v>
      </c>
      <c r="AG909" s="306">
        <f t="shared" ca="1" si="433"/>
        <v>1.0820419379422486</v>
      </c>
      <c r="AH909" s="304">
        <f t="shared" ca="1" si="434"/>
        <v>-8.716691521683682</v>
      </c>
    </row>
    <row r="910" spans="1:34" x14ac:dyDescent="0.25">
      <c r="A910" s="347">
        <f t="shared" ca="1" si="412"/>
        <v>1E-4</v>
      </c>
      <c r="B910" s="304">
        <f t="shared" ca="1" si="413"/>
        <v>42.902700000000365</v>
      </c>
      <c r="D910" s="306">
        <f t="shared" ca="1" si="414"/>
        <v>-0.41763881690190013</v>
      </c>
      <c r="E910" s="307">
        <f t="shared" ca="1" si="415"/>
        <v>-1.1032935362281329</v>
      </c>
      <c r="F910" s="304">
        <f t="shared" ca="1" si="416"/>
        <v>1.1796943707867715</v>
      </c>
      <c r="G910" s="306">
        <f t="shared" ca="1" si="417"/>
        <v>6.4628451509793576</v>
      </c>
      <c r="H910" s="307">
        <f t="shared" ca="1" si="418"/>
        <v>-134.73485479987266</v>
      </c>
      <c r="I910" s="304">
        <f t="shared" ca="1" si="419"/>
        <v>134.88976783058197</v>
      </c>
      <c r="J910" s="306">
        <f t="shared" ca="1" si="420"/>
        <v>638.40045476391947</v>
      </c>
      <c r="K910" s="307">
        <f t="shared" ca="1" si="421"/>
        <v>-9.9480463255254641</v>
      </c>
      <c r="L910" s="304">
        <f t="shared" ca="1" si="406"/>
        <v>638.477959109376</v>
      </c>
      <c r="M910" s="306">
        <f t="shared" ca="1" si="422"/>
        <v>-1.5228659280778625</v>
      </c>
      <c r="N910" s="304">
        <f t="shared" ca="1" si="423"/>
        <v>-87.25379044313469</v>
      </c>
      <c r="P910" s="310">
        <f t="shared" ca="1" si="424"/>
        <v>23</v>
      </c>
      <c r="Q910" s="304">
        <f t="shared" ca="1" si="425"/>
        <v>0</v>
      </c>
      <c r="R910" s="306">
        <f t="shared" ca="1" si="426"/>
        <v>0</v>
      </c>
      <c r="S910" s="307">
        <f t="shared" ca="1" si="427"/>
        <v>10.637999999999975</v>
      </c>
      <c r="T910" s="304">
        <f t="shared" ca="1" si="407"/>
        <v>104.35877999999975</v>
      </c>
      <c r="U910" s="311">
        <f t="shared" ca="1" si="408"/>
        <v>0</v>
      </c>
      <c r="V910" s="306">
        <f t="shared" ca="1" si="409"/>
        <v>1.2262192421287357</v>
      </c>
      <c r="W910" s="304">
        <f t="shared" ca="1" si="410"/>
        <v>92.72871181430088</v>
      </c>
      <c r="Y910" s="314" t="str">
        <f t="shared" ca="1" si="428"/>
        <v/>
      </c>
      <c r="Z910" s="315" t="str">
        <f t="shared" ca="1" si="429"/>
        <v/>
      </c>
      <c r="AA910" s="316" t="str">
        <f t="shared" ca="1" si="430"/>
        <v/>
      </c>
      <c r="AC910" s="310" t="e">
        <f t="shared" ca="1" si="431"/>
        <v>#N/A</v>
      </c>
      <c r="AD910" s="323" t="e">
        <f t="shared" ca="1" si="432"/>
        <v>#N/A</v>
      </c>
      <c r="AE910" s="324" t="e">
        <f t="shared" ca="1" si="411"/>
        <v>#N/A</v>
      </c>
      <c r="AG910" s="306">
        <f t="shared" ca="1" si="433"/>
        <v>1.0820163727618279</v>
      </c>
      <c r="AH910" s="304">
        <f t="shared" ca="1" si="434"/>
        <v>-8.7167172506437325</v>
      </c>
    </row>
    <row r="911" spans="1:34" x14ac:dyDescent="0.25">
      <c r="A911" s="347">
        <f t="shared" ca="1" si="412"/>
        <v>1E-4</v>
      </c>
      <c r="B911" s="304">
        <f t="shared" ca="1" si="413"/>
        <v>42.902800000000369</v>
      </c>
      <c r="D911" s="306">
        <f t="shared" ca="1" si="414"/>
        <v>-0.41763701578288753</v>
      </c>
      <c r="E911" s="307">
        <f t="shared" ca="1" si="415"/>
        <v>-1.1032676915472006</v>
      </c>
      <c r="F911" s="304">
        <f t="shared" ca="1" si="416"/>
        <v>1.1796695622774729</v>
      </c>
      <c r="G911" s="306">
        <f t="shared" ca="1" si="417"/>
        <v>6.4628033872777797</v>
      </c>
      <c r="H911" s="307">
        <f t="shared" ca="1" si="418"/>
        <v>-134.73496512664181</v>
      </c>
      <c r="I911" s="304">
        <f t="shared" ca="1" si="419"/>
        <v>134.88987602967094</v>
      </c>
      <c r="J911" s="306">
        <f t="shared" ca="1" si="420"/>
        <v>638.40045476391947</v>
      </c>
      <c r="K911" s="307">
        <f t="shared" ca="1" si="421"/>
        <v>-9.9615198165217897</v>
      </c>
      <c r="L911" s="304">
        <f t="shared" ca="1" si="406"/>
        <v>638.47816918030503</v>
      </c>
      <c r="M911" s="306">
        <f t="shared" ca="1" si="422"/>
        <v>-1.5228662765229892</v>
      </c>
      <c r="N911" s="304">
        <f t="shared" ca="1" si="423"/>
        <v>-87.253810407569844</v>
      </c>
      <c r="P911" s="310">
        <f t="shared" ca="1" si="424"/>
        <v>23</v>
      </c>
      <c r="Q911" s="304">
        <f t="shared" ca="1" si="425"/>
        <v>0</v>
      </c>
      <c r="R911" s="306">
        <f t="shared" ca="1" si="426"/>
        <v>0</v>
      </c>
      <c r="S911" s="307">
        <f t="shared" ca="1" si="427"/>
        <v>10.637999999999975</v>
      </c>
      <c r="T911" s="304">
        <f t="shared" ca="1" si="407"/>
        <v>104.35877999999975</v>
      </c>
      <c r="U911" s="311">
        <f t="shared" ca="1" si="408"/>
        <v>0</v>
      </c>
      <c r="V911" s="306">
        <f t="shared" ca="1" si="409"/>
        <v>1.2262208942756503</v>
      </c>
      <c r="W911" s="304">
        <f t="shared" ca="1" si="410"/>
        <v>92.728985513530048</v>
      </c>
      <c r="Y911" s="314" t="str">
        <f t="shared" ca="1" si="428"/>
        <v/>
      </c>
      <c r="Z911" s="315" t="str">
        <f t="shared" ca="1" si="429"/>
        <v/>
      </c>
      <c r="AA911" s="316" t="str">
        <f t="shared" ca="1" si="430"/>
        <v/>
      </c>
      <c r="AC911" s="310" t="e">
        <f t="shared" ca="1" si="431"/>
        <v>#N/A</v>
      </c>
      <c r="AD911" s="323" t="e">
        <f t="shared" ca="1" si="432"/>
        <v>#N/A</v>
      </c>
      <c r="AE911" s="324" t="e">
        <f t="shared" ca="1" si="411"/>
        <v>#N/A</v>
      </c>
      <c r="AG911" s="306">
        <f t="shared" ca="1" si="433"/>
        <v>1.0819908078349538</v>
      </c>
      <c r="AH911" s="304">
        <f t="shared" ca="1" si="434"/>
        <v>-8.7167429793477247</v>
      </c>
    </row>
    <row r="912" spans="1:34" x14ac:dyDescent="0.25">
      <c r="A912" s="347">
        <f t="shared" ca="1" si="412"/>
        <v>1E-4</v>
      </c>
      <c r="B912" s="304">
        <f t="shared" ca="1" si="413"/>
        <v>42.902900000000372</v>
      </c>
      <c r="D912" s="306">
        <f t="shared" ca="1" si="414"/>
        <v>-0.41763521465812026</v>
      </c>
      <c r="E912" s="307">
        <f t="shared" ca="1" si="415"/>
        <v>-1.1032418471233996</v>
      </c>
      <c r="F912" s="304">
        <f t="shared" ca="1" si="416"/>
        <v>1.1796447540538568</v>
      </c>
      <c r="G912" s="306">
        <f t="shared" ca="1" si="417"/>
        <v>6.4627616237563137</v>
      </c>
      <c r="H912" s="307">
        <f t="shared" ca="1" si="418"/>
        <v>-134.73507545082651</v>
      </c>
      <c r="I912" s="304">
        <f t="shared" ca="1" si="419"/>
        <v>134.88998422620344</v>
      </c>
      <c r="J912" s="306">
        <f t="shared" ca="1" si="420"/>
        <v>638.40045476391947</v>
      </c>
      <c r="K912" s="307">
        <f t="shared" ca="1" si="421"/>
        <v>-9.9749933185506627</v>
      </c>
      <c r="L912" s="304">
        <f t="shared" ca="1" si="406"/>
        <v>638.47837953566159</v>
      </c>
      <c r="M912" s="306">
        <f t="shared" ca="1" si="422"/>
        <v>-1.5228666249653053</v>
      </c>
      <c r="N912" s="304">
        <f t="shared" ca="1" si="423"/>
        <v>-87.253830371843961</v>
      </c>
      <c r="P912" s="310">
        <f t="shared" ca="1" si="424"/>
        <v>23</v>
      </c>
      <c r="Q912" s="304">
        <f t="shared" ca="1" si="425"/>
        <v>0</v>
      </c>
      <c r="R912" s="306">
        <f t="shared" ca="1" si="426"/>
        <v>0</v>
      </c>
      <c r="S912" s="307">
        <f t="shared" ca="1" si="427"/>
        <v>10.637999999999975</v>
      </c>
      <c r="T912" s="304">
        <f t="shared" ca="1" si="407"/>
        <v>104.35877999999975</v>
      </c>
      <c r="U912" s="311">
        <f t="shared" ca="1" si="408"/>
        <v>0</v>
      </c>
      <c r="V912" s="306">
        <f t="shared" ca="1" si="409"/>
        <v>1.2262225464261445</v>
      </c>
      <c r="W912" s="304">
        <f t="shared" ca="1" si="410"/>
        <v>92.729259210035224</v>
      </c>
      <c r="Y912" s="314" t="str">
        <f t="shared" ca="1" si="428"/>
        <v/>
      </c>
      <c r="Z912" s="315" t="str">
        <f t="shared" ca="1" si="429"/>
        <v/>
      </c>
      <c r="AA912" s="316" t="str">
        <f t="shared" ca="1" si="430"/>
        <v/>
      </c>
      <c r="AC912" s="310" t="e">
        <f t="shared" ca="1" si="431"/>
        <v>#N/A</v>
      </c>
      <c r="AD912" s="323" t="e">
        <f t="shared" ca="1" si="432"/>
        <v>#N/A</v>
      </c>
      <c r="AE912" s="324" t="e">
        <f t="shared" ca="1" si="411"/>
        <v>#N/A</v>
      </c>
      <c r="AG912" s="306">
        <f t="shared" ca="1" si="433"/>
        <v>1.0819652431616227</v>
      </c>
      <c r="AH912" s="304">
        <f t="shared" ca="1" si="434"/>
        <v>-8.7167687077956639</v>
      </c>
    </row>
    <row r="913" spans="1:34" x14ac:dyDescent="0.25">
      <c r="A913" s="347">
        <f t="shared" ca="1" si="412"/>
        <v>1E-4</v>
      </c>
      <c r="B913" s="304">
        <f t="shared" ca="1" si="413"/>
        <v>42.903000000000375</v>
      </c>
      <c r="D913" s="306">
        <f t="shared" ca="1" si="414"/>
        <v>-0.4176334135275962</v>
      </c>
      <c r="E913" s="307">
        <f t="shared" ca="1" si="415"/>
        <v>-1.1032160029567404</v>
      </c>
      <c r="F913" s="304">
        <f t="shared" ca="1" si="416"/>
        <v>1.179619946115934</v>
      </c>
      <c r="G913" s="306">
        <f t="shared" ca="1" si="417"/>
        <v>6.4627198604149605</v>
      </c>
      <c r="H913" s="307">
        <f t="shared" ca="1" si="418"/>
        <v>-134.7351857724268</v>
      </c>
      <c r="I913" s="304">
        <f t="shared" ca="1" si="419"/>
        <v>134.89009242017949</v>
      </c>
      <c r="J913" s="306">
        <f t="shared" ca="1" si="420"/>
        <v>638.40045476391947</v>
      </c>
      <c r="K913" s="307">
        <f t="shared" ca="1" si="421"/>
        <v>-9.9884668316118255</v>
      </c>
      <c r="L913" s="304">
        <f t="shared" ca="1" si="406"/>
        <v>638.47859017544624</v>
      </c>
      <c r="M913" s="306">
        <f t="shared" ca="1" si="422"/>
        <v>-1.522866973404811</v>
      </c>
      <c r="N913" s="304">
        <f t="shared" ca="1" si="423"/>
        <v>-87.253850335957054</v>
      </c>
      <c r="P913" s="310">
        <f t="shared" ca="1" si="424"/>
        <v>23</v>
      </c>
      <c r="Q913" s="304">
        <f t="shared" ca="1" si="425"/>
        <v>0</v>
      </c>
      <c r="R913" s="306">
        <f t="shared" ca="1" si="426"/>
        <v>0</v>
      </c>
      <c r="S913" s="307">
        <f t="shared" ca="1" si="427"/>
        <v>10.637999999999975</v>
      </c>
      <c r="T913" s="304">
        <f t="shared" ca="1" si="407"/>
        <v>104.35877999999975</v>
      </c>
      <c r="U913" s="311">
        <f t="shared" ca="1" si="408"/>
        <v>0</v>
      </c>
      <c r="V913" s="306">
        <f t="shared" ca="1" si="409"/>
        <v>1.2262241985802182</v>
      </c>
      <c r="W913" s="304">
        <f t="shared" ca="1" si="410"/>
        <v>92.729532903816448</v>
      </c>
      <c r="Y913" s="314" t="str">
        <f t="shared" ca="1" si="428"/>
        <v/>
      </c>
      <c r="Z913" s="315" t="str">
        <f t="shared" ca="1" si="429"/>
        <v/>
      </c>
      <c r="AA913" s="316" t="str">
        <f t="shared" ca="1" si="430"/>
        <v/>
      </c>
      <c r="AC913" s="310" t="e">
        <f t="shared" ca="1" si="431"/>
        <v>#N/A</v>
      </c>
      <c r="AD913" s="323" t="e">
        <f t="shared" ca="1" si="432"/>
        <v>#N/A</v>
      </c>
      <c r="AE913" s="324" t="e">
        <f t="shared" ca="1" si="411"/>
        <v>#N/A</v>
      </c>
      <c r="AG913" s="306">
        <f t="shared" ca="1" si="433"/>
        <v>1.0819396787418452</v>
      </c>
      <c r="AH913" s="304">
        <f t="shared" ca="1" si="434"/>
        <v>-8.7167944359875396</v>
      </c>
    </row>
    <row r="914" spans="1:34" x14ac:dyDescent="0.25">
      <c r="A914" s="347">
        <f t="shared" ca="1" si="412"/>
        <v>1E-4</v>
      </c>
      <c r="B914" s="304">
        <f t="shared" ca="1" si="413"/>
        <v>42.903100000000379</v>
      </c>
      <c r="D914" s="306">
        <f t="shared" ca="1" si="414"/>
        <v>-0.41763161239131424</v>
      </c>
      <c r="E914" s="307">
        <f t="shared" ca="1" si="415"/>
        <v>-1.103190159047216</v>
      </c>
      <c r="F914" s="304">
        <f t="shared" ca="1" si="416"/>
        <v>1.1795951384636978</v>
      </c>
      <c r="G914" s="306">
        <f t="shared" ca="1" si="417"/>
        <v>6.462678097253721</v>
      </c>
      <c r="H914" s="307">
        <f t="shared" ca="1" si="418"/>
        <v>-134.73529609144271</v>
      </c>
      <c r="I914" s="304">
        <f t="shared" ca="1" si="419"/>
        <v>134.89020061159914</v>
      </c>
      <c r="J914" s="306">
        <f t="shared" ca="1" si="420"/>
        <v>638.40045476391947</v>
      </c>
      <c r="K914" s="307">
        <f t="shared" ca="1" si="421"/>
        <v>-10.001940355705019</v>
      </c>
      <c r="L914" s="304">
        <f t="shared" ca="1" si="406"/>
        <v>638.47880109965934</v>
      </c>
      <c r="M914" s="306">
        <f t="shared" ca="1" si="422"/>
        <v>-1.5228673218415059</v>
      </c>
      <c r="N914" s="304">
        <f t="shared" ca="1" si="423"/>
        <v>-87.253870299909096</v>
      </c>
      <c r="P914" s="310">
        <f t="shared" ca="1" si="424"/>
        <v>23</v>
      </c>
      <c r="Q914" s="304">
        <f t="shared" ca="1" si="425"/>
        <v>0</v>
      </c>
      <c r="R914" s="306">
        <f t="shared" ca="1" si="426"/>
        <v>0</v>
      </c>
      <c r="S914" s="307">
        <f t="shared" ca="1" si="427"/>
        <v>10.637999999999975</v>
      </c>
      <c r="T914" s="304">
        <f t="shared" ca="1" si="407"/>
        <v>104.35877999999975</v>
      </c>
      <c r="U914" s="311">
        <f t="shared" ca="1" si="408"/>
        <v>0</v>
      </c>
      <c r="V914" s="306">
        <f t="shared" ca="1" si="409"/>
        <v>1.2262258507378723</v>
      </c>
      <c r="W914" s="304">
        <f t="shared" ca="1" si="410"/>
        <v>92.729806594873807</v>
      </c>
      <c r="Y914" s="314" t="str">
        <f t="shared" ca="1" si="428"/>
        <v/>
      </c>
      <c r="Z914" s="315" t="str">
        <f t="shared" ca="1" si="429"/>
        <v/>
      </c>
      <c r="AA914" s="316" t="str">
        <f t="shared" ca="1" si="430"/>
        <v/>
      </c>
      <c r="AC914" s="310" t="e">
        <f t="shared" ca="1" si="431"/>
        <v>#N/A</v>
      </c>
      <c r="AD914" s="323" t="e">
        <f t="shared" ca="1" si="432"/>
        <v>#N/A</v>
      </c>
      <c r="AE914" s="324" t="e">
        <f t="shared" ca="1" si="411"/>
        <v>#N/A</v>
      </c>
      <c r="AG914" s="306">
        <f t="shared" ca="1" si="433"/>
        <v>1.0819141145756141</v>
      </c>
      <c r="AH914" s="304">
        <f t="shared" ca="1" si="434"/>
        <v>-8.7168201639233569</v>
      </c>
    </row>
    <row r="915" spans="1:34" x14ac:dyDescent="0.25">
      <c r="A915" s="347">
        <f t="shared" ca="1" si="412"/>
        <v>1E-4</v>
      </c>
      <c r="B915" s="304">
        <f t="shared" ca="1" si="413"/>
        <v>42.903200000000382</v>
      </c>
      <c r="D915" s="306">
        <f t="shared" ca="1" si="414"/>
        <v>-0.417629811249279</v>
      </c>
      <c r="E915" s="307">
        <f t="shared" ca="1" si="415"/>
        <v>-1.103164315394821</v>
      </c>
      <c r="F915" s="304">
        <f t="shared" ca="1" si="416"/>
        <v>1.1795703310971468</v>
      </c>
      <c r="G915" s="306">
        <f t="shared" ca="1" si="417"/>
        <v>6.4626363342725961</v>
      </c>
      <c r="H915" s="307">
        <f t="shared" ca="1" si="418"/>
        <v>-134.73540640787425</v>
      </c>
      <c r="I915" s="304">
        <f t="shared" ca="1" si="419"/>
        <v>134.89030880046238</v>
      </c>
      <c r="J915" s="306">
        <f t="shared" ca="1" si="420"/>
        <v>638.40045476391947</v>
      </c>
      <c r="K915" s="307">
        <f t="shared" ca="1" si="421"/>
        <v>-10.015413890829985</v>
      </c>
      <c r="L915" s="304">
        <f t="shared" ca="1" si="406"/>
        <v>638.47901230830121</v>
      </c>
      <c r="M915" s="306">
        <f t="shared" ca="1" si="422"/>
        <v>-1.5228676702753901</v>
      </c>
      <c r="N915" s="304">
        <f t="shared" ca="1" si="423"/>
        <v>-87.2538902637001</v>
      </c>
      <c r="P915" s="310">
        <f t="shared" ca="1" si="424"/>
        <v>23</v>
      </c>
      <c r="Q915" s="304">
        <f t="shared" ca="1" si="425"/>
        <v>0</v>
      </c>
      <c r="R915" s="306">
        <f t="shared" ca="1" si="426"/>
        <v>0</v>
      </c>
      <c r="S915" s="307">
        <f t="shared" ca="1" si="427"/>
        <v>10.637999999999975</v>
      </c>
      <c r="T915" s="304">
        <f t="shared" ca="1" si="407"/>
        <v>104.35877999999975</v>
      </c>
      <c r="U915" s="311">
        <f t="shared" ca="1" si="408"/>
        <v>0</v>
      </c>
      <c r="V915" s="306">
        <f t="shared" ca="1" si="409"/>
        <v>1.2262275028991061</v>
      </c>
      <c r="W915" s="304">
        <f t="shared" ca="1" si="410"/>
        <v>92.730080283207229</v>
      </c>
      <c r="Y915" s="314" t="str">
        <f t="shared" ca="1" si="428"/>
        <v/>
      </c>
      <c r="Z915" s="315" t="str">
        <f t="shared" ca="1" si="429"/>
        <v/>
      </c>
      <c r="AA915" s="316" t="str">
        <f t="shared" ca="1" si="430"/>
        <v/>
      </c>
      <c r="AC915" s="310" t="e">
        <f t="shared" ca="1" si="431"/>
        <v>#N/A</v>
      </c>
      <c r="AD915" s="323" t="e">
        <f t="shared" ca="1" si="432"/>
        <v>#N/A</v>
      </c>
      <c r="AE915" s="324" t="e">
        <f t="shared" ca="1" si="411"/>
        <v>#N/A</v>
      </c>
      <c r="AG915" s="306">
        <f t="shared" ca="1" si="433"/>
        <v>1.0818885506629226</v>
      </c>
      <c r="AH915" s="304">
        <f t="shared" ca="1" si="434"/>
        <v>-8.7168458916031231</v>
      </c>
    </row>
    <row r="916" spans="1:34" x14ac:dyDescent="0.25">
      <c r="A916" s="347">
        <f t="shared" ca="1" si="412"/>
        <v>1E-4</v>
      </c>
      <c r="B916" s="304">
        <f t="shared" ca="1" si="413"/>
        <v>42.903300000000385</v>
      </c>
      <c r="D916" s="306">
        <f t="shared" ca="1" si="414"/>
        <v>-0.41762801010148887</v>
      </c>
      <c r="E916" s="307">
        <f t="shared" ca="1" si="415"/>
        <v>-1.1031384719995607</v>
      </c>
      <c r="F916" s="304">
        <f t="shared" ca="1" si="416"/>
        <v>1.179545524016286</v>
      </c>
      <c r="G916" s="306">
        <f t="shared" ca="1" si="417"/>
        <v>6.4625945714715858</v>
      </c>
      <c r="H916" s="307">
        <f t="shared" ca="1" si="418"/>
        <v>-134.73551672172144</v>
      </c>
      <c r="I916" s="304">
        <f t="shared" ca="1" si="419"/>
        <v>134.89041698676925</v>
      </c>
      <c r="J916" s="306">
        <f t="shared" ca="1" si="420"/>
        <v>638.40045476391947</v>
      </c>
      <c r="K916" s="307">
        <f t="shared" ca="1" si="421"/>
        <v>-10.028887436986464</v>
      </c>
      <c r="L916" s="304">
        <f t="shared" ca="1" si="406"/>
        <v>638.47922380137231</v>
      </c>
      <c r="M916" s="306">
        <f t="shared" ca="1" si="422"/>
        <v>-1.5228680187064638</v>
      </c>
      <c r="N916" s="304">
        <f t="shared" ca="1" si="423"/>
        <v>-87.253910227330081</v>
      </c>
      <c r="P916" s="310">
        <f t="shared" ca="1" si="424"/>
        <v>23</v>
      </c>
      <c r="Q916" s="304">
        <f t="shared" ca="1" si="425"/>
        <v>0</v>
      </c>
      <c r="R916" s="306">
        <f t="shared" ca="1" si="426"/>
        <v>0</v>
      </c>
      <c r="S916" s="307">
        <f t="shared" ca="1" si="427"/>
        <v>10.637999999999975</v>
      </c>
      <c r="T916" s="304">
        <f t="shared" ca="1" si="407"/>
        <v>104.35877999999975</v>
      </c>
      <c r="U916" s="311">
        <f t="shared" ca="1" si="408"/>
        <v>0</v>
      </c>
      <c r="V916" s="306">
        <f t="shared" ca="1" si="409"/>
        <v>1.2262291550639199</v>
      </c>
      <c r="W916" s="304">
        <f t="shared" ca="1" si="410"/>
        <v>92.730353968816758</v>
      </c>
      <c r="Y916" s="314" t="str">
        <f t="shared" ca="1" si="428"/>
        <v/>
      </c>
      <c r="Z916" s="315" t="str">
        <f t="shared" ca="1" si="429"/>
        <v/>
      </c>
      <c r="AA916" s="316" t="str">
        <f t="shared" ca="1" si="430"/>
        <v/>
      </c>
      <c r="AC916" s="310" t="e">
        <f t="shared" ca="1" si="431"/>
        <v>#N/A</v>
      </c>
      <c r="AD916" s="323" t="e">
        <f t="shared" ca="1" si="432"/>
        <v>#N/A</v>
      </c>
      <c r="AE916" s="324" t="e">
        <f t="shared" ca="1" si="411"/>
        <v>#N/A</v>
      </c>
      <c r="AG916" s="306">
        <f t="shared" ca="1" si="433"/>
        <v>1.0818629870037775</v>
      </c>
      <c r="AH916" s="304">
        <f t="shared" ca="1" si="434"/>
        <v>-8.7168716190268327</v>
      </c>
    </row>
    <row r="917" spans="1:34" x14ac:dyDescent="0.25">
      <c r="A917" s="347">
        <f t="shared" ca="1" si="412"/>
        <v>1E-4</v>
      </c>
      <c r="B917" s="304">
        <f t="shared" ca="1" si="413"/>
        <v>42.903400000000389</v>
      </c>
      <c r="D917" s="306">
        <f t="shared" ca="1" si="414"/>
        <v>-0.41762620894794256</v>
      </c>
      <c r="E917" s="307">
        <f t="shared" ca="1" si="415"/>
        <v>-1.1031126288614317</v>
      </c>
      <c r="F917" s="304">
        <f t="shared" ca="1" si="416"/>
        <v>1.1795207172211133</v>
      </c>
      <c r="G917" s="306">
        <f t="shared" ca="1" si="417"/>
        <v>6.4625528088506909</v>
      </c>
      <c r="H917" s="307">
        <f t="shared" ca="1" si="418"/>
        <v>-134.73562703298433</v>
      </c>
      <c r="I917" s="304">
        <f t="shared" ca="1" si="419"/>
        <v>134.89052517051982</v>
      </c>
      <c r="J917" s="306">
        <f t="shared" ca="1" si="420"/>
        <v>638.40045476391947</v>
      </c>
      <c r="K917" s="307">
        <f t="shared" ca="1" si="421"/>
        <v>-10.042360994174199</v>
      </c>
      <c r="L917" s="304">
        <f t="shared" ca="1" si="406"/>
        <v>638.47943557887322</v>
      </c>
      <c r="M917" s="306">
        <f t="shared" ca="1" si="422"/>
        <v>-1.522868367134727</v>
      </c>
      <c r="N917" s="304">
        <f t="shared" ca="1" si="423"/>
        <v>-87.253930190799025</v>
      </c>
      <c r="P917" s="310">
        <f t="shared" ca="1" si="424"/>
        <v>23</v>
      </c>
      <c r="Q917" s="304">
        <f t="shared" ca="1" si="425"/>
        <v>0</v>
      </c>
      <c r="R917" s="306">
        <f t="shared" ca="1" si="426"/>
        <v>0</v>
      </c>
      <c r="S917" s="307">
        <f t="shared" ca="1" si="427"/>
        <v>10.637999999999975</v>
      </c>
      <c r="T917" s="304">
        <f t="shared" ca="1" si="407"/>
        <v>104.35877999999975</v>
      </c>
      <c r="U917" s="311">
        <f t="shared" ca="1" si="408"/>
        <v>0</v>
      </c>
      <c r="V917" s="306">
        <f t="shared" ca="1" si="409"/>
        <v>1.2262308072323136</v>
      </c>
      <c r="W917" s="304">
        <f t="shared" ca="1" si="410"/>
        <v>92.730627651702463</v>
      </c>
      <c r="Y917" s="314" t="str">
        <f t="shared" ca="1" si="428"/>
        <v/>
      </c>
      <c r="Z917" s="315" t="str">
        <f t="shared" ca="1" si="429"/>
        <v/>
      </c>
      <c r="AA917" s="316" t="str">
        <f t="shared" ca="1" si="430"/>
        <v/>
      </c>
      <c r="AC917" s="310" t="e">
        <f t="shared" ca="1" si="431"/>
        <v>#N/A</v>
      </c>
      <c r="AD917" s="323" t="e">
        <f t="shared" ca="1" si="432"/>
        <v>#N/A</v>
      </c>
      <c r="AE917" s="324" t="e">
        <f t="shared" ca="1" si="411"/>
        <v>#N/A</v>
      </c>
      <c r="AG917" s="306">
        <f t="shared" ca="1" si="433"/>
        <v>1.0818374235981754</v>
      </c>
      <c r="AH917" s="304">
        <f t="shared" ca="1" si="434"/>
        <v>-8.7168973461944894</v>
      </c>
    </row>
    <row r="918" spans="1:34" x14ac:dyDescent="0.25">
      <c r="A918" s="347">
        <f t="shared" ca="1" si="412"/>
        <v>1E-4</v>
      </c>
      <c r="B918" s="304">
        <f t="shared" ca="1" si="413"/>
        <v>42.903500000000392</v>
      </c>
      <c r="D918" s="306">
        <f t="shared" ca="1" si="414"/>
        <v>-0.41762440778864263</v>
      </c>
      <c r="E918" s="307">
        <f t="shared" ca="1" si="415"/>
        <v>-1.1030867859804268</v>
      </c>
      <c r="F918" s="304">
        <f t="shared" ca="1" si="416"/>
        <v>1.1794959107116236</v>
      </c>
      <c r="G918" s="306">
        <f t="shared" ca="1" si="417"/>
        <v>6.4625110464099125</v>
      </c>
      <c r="H918" s="307">
        <f t="shared" ca="1" si="418"/>
        <v>-134.73573734166291</v>
      </c>
      <c r="I918" s="304">
        <f t="shared" ca="1" si="419"/>
        <v>134.89063335171403</v>
      </c>
      <c r="J918" s="306">
        <f t="shared" ca="1" si="420"/>
        <v>638.40045476391947</v>
      </c>
      <c r="K918" s="307">
        <f t="shared" ca="1" si="421"/>
        <v>-10.055834562392931</v>
      </c>
      <c r="L918" s="304">
        <f t="shared" ca="1" si="406"/>
        <v>638.47964764080416</v>
      </c>
      <c r="M918" s="306">
        <f t="shared" ca="1" si="422"/>
        <v>-1.5228687155601797</v>
      </c>
      <c r="N918" s="304">
        <f t="shared" ca="1" si="423"/>
        <v>-87.253950154106931</v>
      </c>
      <c r="P918" s="310">
        <f t="shared" ca="1" si="424"/>
        <v>23</v>
      </c>
      <c r="Q918" s="304">
        <f t="shared" ca="1" si="425"/>
        <v>0</v>
      </c>
      <c r="R918" s="306">
        <f t="shared" ca="1" si="426"/>
        <v>0</v>
      </c>
      <c r="S918" s="307">
        <f t="shared" ca="1" si="427"/>
        <v>10.637999999999975</v>
      </c>
      <c r="T918" s="304">
        <f t="shared" ca="1" si="407"/>
        <v>104.35877999999975</v>
      </c>
      <c r="U918" s="311">
        <f t="shared" ca="1" si="408"/>
        <v>0</v>
      </c>
      <c r="V918" s="306">
        <f t="shared" ca="1" si="409"/>
        <v>1.226232459404287</v>
      </c>
      <c r="W918" s="304">
        <f t="shared" ca="1" si="410"/>
        <v>92.73090133186426</v>
      </c>
      <c r="Y918" s="314" t="str">
        <f t="shared" ca="1" si="428"/>
        <v/>
      </c>
      <c r="Z918" s="315" t="str">
        <f t="shared" ca="1" si="429"/>
        <v/>
      </c>
      <c r="AA918" s="316" t="str">
        <f t="shared" ca="1" si="430"/>
        <v/>
      </c>
      <c r="AC918" s="310" t="e">
        <f t="shared" ca="1" si="431"/>
        <v>#N/A</v>
      </c>
      <c r="AD918" s="323" t="e">
        <f t="shared" ca="1" si="432"/>
        <v>#N/A</v>
      </c>
      <c r="AE918" s="324" t="e">
        <f t="shared" ca="1" si="411"/>
        <v>#N/A</v>
      </c>
      <c r="AG918" s="306">
        <f t="shared" ca="1" si="433"/>
        <v>1.0818118604461109</v>
      </c>
      <c r="AH918" s="304">
        <f t="shared" ca="1" si="434"/>
        <v>-8.7169230731060985</v>
      </c>
    </row>
    <row r="919" spans="1:34" x14ac:dyDescent="0.25">
      <c r="A919" s="347">
        <f t="shared" ca="1" si="412"/>
        <v>1E-4</v>
      </c>
      <c r="B919" s="304">
        <f t="shared" ca="1" si="413"/>
        <v>42.903600000000395</v>
      </c>
      <c r="D919" s="306">
        <f t="shared" ca="1" si="414"/>
        <v>-0.41762260662358747</v>
      </c>
      <c r="E919" s="307">
        <f t="shared" ca="1" si="415"/>
        <v>-1.103060943356553</v>
      </c>
      <c r="F919" s="304">
        <f t="shared" ca="1" si="416"/>
        <v>1.1794711044878243</v>
      </c>
      <c r="G919" s="306">
        <f t="shared" ca="1" si="417"/>
        <v>6.4624692841492504</v>
      </c>
      <c r="H919" s="307">
        <f t="shared" ca="1" si="418"/>
        <v>-134.73584764775725</v>
      </c>
      <c r="I919" s="304">
        <f t="shared" ca="1" si="419"/>
        <v>134.89074153035199</v>
      </c>
      <c r="J919" s="306">
        <f t="shared" ca="1" si="420"/>
        <v>638.40045476391947</v>
      </c>
      <c r="K919" s="307">
        <f t="shared" ca="1" si="421"/>
        <v>-10.069308141642402</v>
      </c>
      <c r="L919" s="304">
        <f t="shared" ca="1" si="406"/>
        <v>638.47985998716558</v>
      </c>
      <c r="M919" s="306">
        <f t="shared" ca="1" si="422"/>
        <v>-1.522869063982822</v>
      </c>
      <c r="N919" s="304">
        <f t="shared" ca="1" si="423"/>
        <v>-87.253970117253829</v>
      </c>
      <c r="P919" s="310">
        <f t="shared" ca="1" si="424"/>
        <v>23</v>
      </c>
      <c r="Q919" s="304">
        <f t="shared" ca="1" si="425"/>
        <v>0</v>
      </c>
      <c r="R919" s="306">
        <f t="shared" ca="1" si="426"/>
        <v>0</v>
      </c>
      <c r="S919" s="307">
        <f t="shared" ca="1" si="427"/>
        <v>10.637999999999975</v>
      </c>
      <c r="T919" s="304">
        <f t="shared" ca="1" si="407"/>
        <v>104.35877999999975</v>
      </c>
      <c r="U919" s="311">
        <f t="shared" ca="1" si="408"/>
        <v>0</v>
      </c>
      <c r="V919" s="306">
        <f t="shared" ca="1" si="409"/>
        <v>1.2262341115798403</v>
      </c>
      <c r="W919" s="304">
        <f t="shared" ca="1" si="410"/>
        <v>92.731175009302234</v>
      </c>
      <c r="Y919" s="314" t="str">
        <f t="shared" ca="1" si="428"/>
        <v/>
      </c>
      <c r="Z919" s="315" t="str">
        <f t="shared" ca="1" si="429"/>
        <v/>
      </c>
      <c r="AA919" s="316" t="str">
        <f t="shared" ca="1" si="430"/>
        <v/>
      </c>
      <c r="AC919" s="310" t="e">
        <f t="shared" ca="1" si="431"/>
        <v>#N/A</v>
      </c>
      <c r="AD919" s="323" t="e">
        <f t="shared" ca="1" si="432"/>
        <v>#N/A</v>
      </c>
      <c r="AE919" s="324" t="e">
        <f t="shared" ca="1" si="411"/>
        <v>#N/A</v>
      </c>
      <c r="AG919" s="306">
        <f t="shared" ca="1" si="433"/>
        <v>1.0817862975475894</v>
      </c>
      <c r="AH919" s="304">
        <f t="shared" ca="1" si="434"/>
        <v>-8.7169487997616546</v>
      </c>
    </row>
    <row r="920" spans="1:34" x14ac:dyDescent="0.25">
      <c r="A920" s="347">
        <f t="shared" ca="1" si="412"/>
        <v>1E-4</v>
      </c>
      <c r="B920" s="304">
        <f t="shared" ca="1" si="413"/>
        <v>42.903700000000399</v>
      </c>
      <c r="D920" s="306">
        <f t="shared" ca="1" si="414"/>
        <v>-0.4176208054527778</v>
      </c>
      <c r="E920" s="307">
        <f t="shared" ca="1" si="415"/>
        <v>-1.1030351009898069</v>
      </c>
      <c r="F920" s="304">
        <f t="shared" ca="1" si="416"/>
        <v>1.1794462985497138</v>
      </c>
      <c r="G920" s="306">
        <f t="shared" ca="1" si="417"/>
        <v>6.4624275220687055</v>
      </c>
      <c r="H920" s="307">
        <f t="shared" ca="1" si="418"/>
        <v>-134.73595795126735</v>
      </c>
      <c r="I920" s="304">
        <f t="shared" ca="1" si="419"/>
        <v>134.89084970643367</v>
      </c>
      <c r="J920" s="306">
        <f t="shared" ca="1" si="420"/>
        <v>638.40045476391947</v>
      </c>
      <c r="K920" s="307">
        <f t="shared" ca="1" si="421"/>
        <v>-10.082781731922353</v>
      </c>
      <c r="L920" s="304">
        <f t="shared" ca="1" si="406"/>
        <v>638.48007261795794</v>
      </c>
      <c r="M920" s="306">
        <f t="shared" ca="1" si="422"/>
        <v>-1.5228694124026538</v>
      </c>
      <c r="N920" s="304">
        <f t="shared" ca="1" si="423"/>
        <v>-87.253990080239689</v>
      </c>
      <c r="P920" s="310">
        <f t="shared" ca="1" si="424"/>
        <v>23</v>
      </c>
      <c r="Q920" s="304">
        <f t="shared" ca="1" si="425"/>
        <v>0</v>
      </c>
      <c r="R920" s="306">
        <f t="shared" ca="1" si="426"/>
        <v>0</v>
      </c>
      <c r="S920" s="307">
        <f t="shared" ca="1" si="427"/>
        <v>10.637999999999975</v>
      </c>
      <c r="T920" s="304">
        <f t="shared" ca="1" si="407"/>
        <v>104.35877999999975</v>
      </c>
      <c r="U920" s="311">
        <f t="shared" ca="1" si="408"/>
        <v>0</v>
      </c>
      <c r="V920" s="306">
        <f t="shared" ca="1" si="409"/>
        <v>1.2262357637589731</v>
      </c>
      <c r="W920" s="304">
        <f t="shared" ca="1" si="410"/>
        <v>92.731448684016343</v>
      </c>
      <c r="Y920" s="314" t="str">
        <f t="shared" ca="1" si="428"/>
        <v/>
      </c>
      <c r="Z920" s="315" t="str">
        <f t="shared" ca="1" si="429"/>
        <v/>
      </c>
      <c r="AA920" s="316" t="str">
        <f t="shared" ca="1" si="430"/>
        <v/>
      </c>
      <c r="AC920" s="310" t="e">
        <f t="shared" ca="1" si="431"/>
        <v>#N/A</v>
      </c>
      <c r="AD920" s="323" t="e">
        <f t="shared" ca="1" si="432"/>
        <v>#N/A</v>
      </c>
      <c r="AE920" s="324" t="e">
        <f t="shared" ca="1" si="411"/>
        <v>#N/A</v>
      </c>
      <c r="AG920" s="306">
        <f t="shared" ca="1" si="433"/>
        <v>1.0817607349026019</v>
      </c>
      <c r="AH920" s="304">
        <f t="shared" ca="1" si="434"/>
        <v>-8.7169745261611631</v>
      </c>
    </row>
    <row r="921" spans="1:34" x14ac:dyDescent="0.25">
      <c r="A921" s="347">
        <f t="shared" ca="1" si="412"/>
        <v>1E-4</v>
      </c>
      <c r="B921" s="304">
        <f t="shared" ca="1" si="413"/>
        <v>42.903800000000402</v>
      </c>
      <c r="D921" s="306">
        <f t="shared" ca="1" si="414"/>
        <v>-0.41761900427621396</v>
      </c>
      <c r="E921" s="307">
        <f t="shared" ca="1" si="415"/>
        <v>-1.1030092588801867</v>
      </c>
      <c r="F921" s="304">
        <f t="shared" ca="1" si="416"/>
        <v>1.1794214928972913</v>
      </c>
      <c r="G921" s="306">
        <f t="shared" ca="1" si="417"/>
        <v>6.4623857601682779</v>
      </c>
      <c r="H921" s="307">
        <f t="shared" ca="1" si="418"/>
        <v>-134.73606825219323</v>
      </c>
      <c r="I921" s="304">
        <f t="shared" ca="1" si="419"/>
        <v>134.8909578799591</v>
      </c>
      <c r="J921" s="306">
        <f t="shared" ca="1" si="420"/>
        <v>638.40045476391947</v>
      </c>
      <c r="K921" s="307">
        <f t="shared" ca="1" si="421"/>
        <v>-10.096255333232525</v>
      </c>
      <c r="L921" s="304">
        <f t="shared" ca="1" si="406"/>
        <v>638.48028553318147</v>
      </c>
      <c r="M921" s="306">
        <f t="shared" ca="1" si="422"/>
        <v>-1.5228697608196753</v>
      </c>
      <c r="N921" s="304">
        <f t="shared" ca="1" si="423"/>
        <v>-87.254010043064525</v>
      </c>
      <c r="P921" s="310">
        <f t="shared" ca="1" si="424"/>
        <v>23</v>
      </c>
      <c r="Q921" s="304">
        <f t="shared" ca="1" si="425"/>
        <v>0</v>
      </c>
      <c r="R921" s="306">
        <f t="shared" ca="1" si="426"/>
        <v>0</v>
      </c>
      <c r="S921" s="307">
        <f t="shared" ca="1" si="427"/>
        <v>10.637999999999975</v>
      </c>
      <c r="T921" s="304">
        <f t="shared" ca="1" si="407"/>
        <v>104.35877999999975</v>
      </c>
      <c r="U921" s="311">
        <f t="shared" ca="1" si="408"/>
        <v>0</v>
      </c>
      <c r="V921" s="306">
        <f t="shared" ca="1" si="409"/>
        <v>1.226237415941686</v>
      </c>
      <c r="W921" s="304">
        <f t="shared" ca="1" si="410"/>
        <v>92.731722356006628</v>
      </c>
      <c r="Y921" s="314" t="str">
        <f t="shared" ca="1" si="428"/>
        <v/>
      </c>
      <c r="Z921" s="315" t="str">
        <f t="shared" ca="1" si="429"/>
        <v/>
      </c>
      <c r="AA921" s="316" t="str">
        <f t="shared" ca="1" si="430"/>
        <v/>
      </c>
      <c r="AC921" s="310" t="e">
        <f t="shared" ca="1" si="431"/>
        <v>#N/A</v>
      </c>
      <c r="AD921" s="323" t="e">
        <f t="shared" ca="1" si="432"/>
        <v>#N/A</v>
      </c>
      <c r="AE921" s="324" t="e">
        <f t="shared" ca="1" si="411"/>
        <v>#N/A</v>
      </c>
      <c r="AG921" s="306">
        <f t="shared" ca="1" si="433"/>
        <v>1.0817351725111575</v>
      </c>
      <c r="AH921" s="304">
        <f t="shared" ca="1" si="434"/>
        <v>-8.7170002523046204</v>
      </c>
    </row>
    <row r="922" spans="1:34" x14ac:dyDescent="0.25">
      <c r="A922" s="347">
        <f t="shared" ca="1" si="412"/>
        <v>1E-4</v>
      </c>
      <c r="B922" s="304">
        <f t="shared" ca="1" si="413"/>
        <v>42.903900000000405</v>
      </c>
      <c r="D922" s="306">
        <f t="shared" ca="1" si="414"/>
        <v>-0.41761720309389672</v>
      </c>
      <c r="E922" s="307">
        <f t="shared" ca="1" si="415"/>
        <v>-1.1029834170276906</v>
      </c>
      <c r="F922" s="304">
        <f t="shared" ca="1" si="416"/>
        <v>1.1793966875305568</v>
      </c>
      <c r="G922" s="306">
        <f t="shared" ca="1" si="417"/>
        <v>6.4623439984479685</v>
      </c>
      <c r="H922" s="307">
        <f t="shared" ca="1" si="418"/>
        <v>-134.73617855053493</v>
      </c>
      <c r="I922" s="304">
        <f t="shared" ca="1" si="419"/>
        <v>134.89106605092832</v>
      </c>
      <c r="J922" s="306">
        <f t="shared" ca="1" si="420"/>
        <v>638.40045476391947</v>
      </c>
      <c r="K922" s="307">
        <f t="shared" ca="1" si="421"/>
        <v>-10.109728945572662</v>
      </c>
      <c r="L922" s="304">
        <f t="shared" ca="1" si="406"/>
        <v>638.48049873283696</v>
      </c>
      <c r="M922" s="306">
        <f t="shared" ca="1" si="422"/>
        <v>-1.5228701092338863</v>
      </c>
      <c r="N922" s="304">
        <f t="shared" ca="1" si="423"/>
        <v>-87.254030005728339</v>
      </c>
      <c r="P922" s="310">
        <f t="shared" ca="1" si="424"/>
        <v>23</v>
      </c>
      <c r="Q922" s="304">
        <f t="shared" ca="1" si="425"/>
        <v>0</v>
      </c>
      <c r="R922" s="306">
        <f t="shared" ca="1" si="426"/>
        <v>0</v>
      </c>
      <c r="S922" s="307">
        <f t="shared" ca="1" si="427"/>
        <v>10.637999999999975</v>
      </c>
      <c r="T922" s="304">
        <f t="shared" ca="1" si="407"/>
        <v>104.35877999999975</v>
      </c>
      <c r="U922" s="311">
        <f t="shared" ca="1" si="408"/>
        <v>0</v>
      </c>
      <c r="V922" s="306">
        <f t="shared" ca="1" si="409"/>
        <v>1.2262390681279787</v>
      </c>
      <c r="W922" s="304">
        <f t="shared" ca="1" si="410"/>
        <v>92.731996025273105</v>
      </c>
      <c r="Y922" s="314" t="str">
        <f t="shared" ca="1" si="428"/>
        <v/>
      </c>
      <c r="Z922" s="315" t="str">
        <f t="shared" ca="1" si="429"/>
        <v/>
      </c>
      <c r="AA922" s="316" t="str">
        <f t="shared" ca="1" si="430"/>
        <v/>
      </c>
      <c r="AC922" s="310" t="e">
        <f t="shared" ca="1" si="431"/>
        <v>#N/A</v>
      </c>
      <c r="AD922" s="323" t="e">
        <f t="shared" ca="1" si="432"/>
        <v>#N/A</v>
      </c>
      <c r="AE922" s="324" t="e">
        <f t="shared" ca="1" si="411"/>
        <v>#N/A</v>
      </c>
      <c r="AG922" s="306">
        <f t="shared" ca="1" si="433"/>
        <v>1.0817096103732471</v>
      </c>
      <c r="AH922" s="304">
        <f t="shared" ca="1" si="434"/>
        <v>-8.7170259781920336</v>
      </c>
    </row>
    <row r="923" spans="1:34" x14ac:dyDescent="0.25">
      <c r="A923" s="347">
        <f t="shared" ca="1" si="412"/>
        <v>1E-4</v>
      </c>
      <c r="B923" s="304">
        <f t="shared" ca="1" si="413"/>
        <v>42.904000000000408</v>
      </c>
      <c r="D923" s="306">
        <f t="shared" ca="1" si="414"/>
        <v>-0.41761540190582647</v>
      </c>
      <c r="E923" s="307">
        <f t="shared" ca="1" si="415"/>
        <v>-1.1029575754323186</v>
      </c>
      <c r="F923" s="304">
        <f t="shared" ca="1" si="416"/>
        <v>1.1793718824495112</v>
      </c>
      <c r="G923" s="306">
        <f t="shared" ca="1" si="417"/>
        <v>6.4623022369077781</v>
      </c>
      <c r="H923" s="307">
        <f t="shared" ca="1" si="418"/>
        <v>-134.73628884629247</v>
      </c>
      <c r="I923" s="304">
        <f t="shared" ca="1" si="419"/>
        <v>134.89117421934134</v>
      </c>
      <c r="J923" s="306">
        <f t="shared" ca="1" si="420"/>
        <v>638.40045476391947</v>
      </c>
      <c r="K923" s="307">
        <f t="shared" ca="1" si="421"/>
        <v>-10.123202568942503</v>
      </c>
      <c r="L923" s="304">
        <f t="shared" ca="1" si="406"/>
        <v>638.48071221692442</v>
      </c>
      <c r="M923" s="306">
        <f t="shared" ca="1" si="422"/>
        <v>-1.5228704576452872</v>
      </c>
      <c r="N923" s="304">
        <f t="shared" ca="1" si="423"/>
        <v>-87.254049968231143</v>
      </c>
      <c r="P923" s="310">
        <f t="shared" ca="1" si="424"/>
        <v>23</v>
      </c>
      <c r="Q923" s="304">
        <f t="shared" ca="1" si="425"/>
        <v>0</v>
      </c>
      <c r="R923" s="306">
        <f t="shared" ca="1" si="426"/>
        <v>0</v>
      </c>
      <c r="S923" s="307">
        <f t="shared" ca="1" si="427"/>
        <v>10.637999999999975</v>
      </c>
      <c r="T923" s="304">
        <f t="shared" ca="1" si="407"/>
        <v>104.35877999999975</v>
      </c>
      <c r="U923" s="311">
        <f t="shared" ca="1" si="408"/>
        <v>0</v>
      </c>
      <c r="V923" s="306">
        <f t="shared" ca="1" si="409"/>
        <v>1.2262407203178511</v>
      </c>
      <c r="W923" s="304">
        <f t="shared" ca="1" si="410"/>
        <v>92.732269691815773</v>
      </c>
      <c r="Y923" s="314" t="str">
        <f t="shared" ca="1" si="428"/>
        <v/>
      </c>
      <c r="Z923" s="315" t="str">
        <f t="shared" ca="1" si="429"/>
        <v/>
      </c>
      <c r="AA923" s="316" t="str">
        <f t="shared" ca="1" si="430"/>
        <v/>
      </c>
      <c r="AC923" s="310" t="e">
        <f t="shared" ca="1" si="431"/>
        <v>#N/A</v>
      </c>
      <c r="AD923" s="323" t="e">
        <f t="shared" ca="1" si="432"/>
        <v>#N/A</v>
      </c>
      <c r="AE923" s="324" t="e">
        <f t="shared" ca="1" si="411"/>
        <v>#N/A</v>
      </c>
      <c r="AG923" s="306">
        <f t="shared" ca="1" si="433"/>
        <v>1.0816840484888743</v>
      </c>
      <c r="AH923" s="304">
        <f t="shared" ca="1" si="434"/>
        <v>-8.7170517038233992</v>
      </c>
    </row>
    <row r="924" spans="1:34" x14ac:dyDescent="0.25">
      <c r="A924" s="347">
        <f t="shared" ca="1" si="412"/>
        <v>1E-4</v>
      </c>
      <c r="B924" s="304">
        <f t="shared" ca="1" si="413"/>
        <v>42.904100000000412</v>
      </c>
      <c r="D924" s="306">
        <f t="shared" ca="1" si="414"/>
        <v>-0.41761360071200193</v>
      </c>
      <c r="E924" s="307">
        <f t="shared" ca="1" si="415"/>
        <v>-1.102931734094069</v>
      </c>
      <c r="F924" s="304">
        <f t="shared" ca="1" si="416"/>
        <v>1.1793470776541541</v>
      </c>
      <c r="G924" s="306">
        <f t="shared" ca="1" si="417"/>
        <v>6.4622604755477067</v>
      </c>
      <c r="H924" s="307">
        <f t="shared" ca="1" si="418"/>
        <v>-134.73639913946587</v>
      </c>
      <c r="I924" s="304">
        <f t="shared" ca="1" si="419"/>
        <v>134.89128238519822</v>
      </c>
      <c r="J924" s="306">
        <f t="shared" ca="1" si="420"/>
        <v>638.40045476391947</v>
      </c>
      <c r="K924" s="307">
        <f t="shared" ca="1" si="421"/>
        <v>-10.136676203341791</v>
      </c>
      <c r="L924" s="304">
        <f t="shared" ca="1" si="406"/>
        <v>638.4809259854444</v>
      </c>
      <c r="M924" s="306">
        <f t="shared" ca="1" si="422"/>
        <v>-1.5228708060538776</v>
      </c>
      <c r="N924" s="304">
        <f t="shared" ca="1" si="423"/>
        <v>-87.254069930572925</v>
      </c>
      <c r="P924" s="310">
        <f t="shared" ca="1" si="424"/>
        <v>23</v>
      </c>
      <c r="Q924" s="304">
        <f t="shared" ca="1" si="425"/>
        <v>0</v>
      </c>
      <c r="R924" s="306">
        <f t="shared" ca="1" si="426"/>
        <v>0</v>
      </c>
      <c r="S924" s="307">
        <f t="shared" ca="1" si="427"/>
        <v>10.637999999999975</v>
      </c>
      <c r="T924" s="304">
        <f t="shared" ca="1" si="407"/>
        <v>104.35877999999975</v>
      </c>
      <c r="U924" s="311">
        <f t="shared" ca="1" si="408"/>
        <v>0</v>
      </c>
      <c r="V924" s="306">
        <f t="shared" ca="1" si="409"/>
        <v>1.2262423725113032</v>
      </c>
      <c r="W924" s="304">
        <f t="shared" ca="1" si="410"/>
        <v>92.732543355634689</v>
      </c>
      <c r="Y924" s="314" t="str">
        <f t="shared" ca="1" si="428"/>
        <v/>
      </c>
      <c r="Z924" s="315" t="str">
        <f t="shared" ca="1" si="429"/>
        <v/>
      </c>
      <c r="AA924" s="316" t="str">
        <f t="shared" ca="1" si="430"/>
        <v/>
      </c>
      <c r="AC924" s="310" t="e">
        <f t="shared" ca="1" si="431"/>
        <v>#N/A</v>
      </c>
      <c r="AD924" s="323" t="e">
        <f t="shared" ca="1" si="432"/>
        <v>#N/A</v>
      </c>
      <c r="AE924" s="324" t="e">
        <f t="shared" ca="1" si="411"/>
        <v>#N/A</v>
      </c>
      <c r="AG924" s="306">
        <f t="shared" ca="1" si="433"/>
        <v>1.0816584868580339</v>
      </c>
      <c r="AH924" s="304">
        <f t="shared" ca="1" si="434"/>
        <v>-8.7170774291987208</v>
      </c>
    </row>
    <row r="925" spans="1:34" x14ac:dyDescent="0.25">
      <c r="A925" s="347">
        <f t="shared" ca="1" si="412"/>
        <v>1E-4</v>
      </c>
      <c r="B925" s="304">
        <f t="shared" ca="1" si="413"/>
        <v>42.904200000000415</v>
      </c>
      <c r="D925" s="306">
        <f t="shared" ca="1" si="414"/>
        <v>-0.41761179951242555</v>
      </c>
      <c r="E925" s="307">
        <f t="shared" ca="1" si="415"/>
        <v>-1.1029058930129363</v>
      </c>
      <c r="F925" s="304">
        <f t="shared" ca="1" si="416"/>
        <v>1.1793222731444823</v>
      </c>
      <c r="G925" s="306">
        <f t="shared" ca="1" si="417"/>
        <v>6.4622187143677552</v>
      </c>
      <c r="H925" s="307">
        <f t="shared" ca="1" si="418"/>
        <v>-134.73650943005518</v>
      </c>
      <c r="I925" s="304">
        <f t="shared" ca="1" si="419"/>
        <v>134.89139054849895</v>
      </c>
      <c r="J925" s="306">
        <f t="shared" ca="1" si="420"/>
        <v>638.40045476391947</v>
      </c>
      <c r="K925" s="307">
        <f t="shared" ca="1" si="421"/>
        <v>-10.150149848770267</v>
      </c>
      <c r="L925" s="304">
        <f t="shared" ca="1" si="406"/>
        <v>638.48114003839748</v>
      </c>
      <c r="M925" s="306">
        <f t="shared" ca="1" si="422"/>
        <v>-1.5228711544596576</v>
      </c>
      <c r="N925" s="304">
        <f t="shared" ca="1" si="423"/>
        <v>-87.254089892753669</v>
      </c>
      <c r="P925" s="310">
        <f t="shared" ca="1" si="424"/>
        <v>23</v>
      </c>
      <c r="Q925" s="304">
        <f t="shared" ca="1" si="425"/>
        <v>0</v>
      </c>
      <c r="R925" s="306">
        <f t="shared" ca="1" si="426"/>
        <v>0</v>
      </c>
      <c r="S925" s="307">
        <f t="shared" ca="1" si="427"/>
        <v>10.637999999999975</v>
      </c>
      <c r="T925" s="304">
        <f t="shared" ca="1" si="407"/>
        <v>104.35877999999975</v>
      </c>
      <c r="U925" s="311">
        <f t="shared" ca="1" si="408"/>
        <v>0</v>
      </c>
      <c r="V925" s="306">
        <f t="shared" ca="1" si="409"/>
        <v>1.2262440247083348</v>
      </c>
      <c r="W925" s="304">
        <f t="shared" ca="1" si="410"/>
        <v>92.732817016729754</v>
      </c>
      <c r="Y925" s="314" t="str">
        <f t="shared" ca="1" si="428"/>
        <v/>
      </c>
      <c r="Z925" s="315" t="str">
        <f t="shared" ca="1" si="429"/>
        <v/>
      </c>
      <c r="AA925" s="316" t="str">
        <f t="shared" ca="1" si="430"/>
        <v/>
      </c>
      <c r="AC925" s="310" t="e">
        <f t="shared" ca="1" si="431"/>
        <v>#N/A</v>
      </c>
      <c r="AD925" s="323" t="e">
        <f t="shared" ca="1" si="432"/>
        <v>#N/A</v>
      </c>
      <c r="AE925" s="324" t="e">
        <f t="shared" ca="1" si="411"/>
        <v>#N/A</v>
      </c>
      <c r="AG925" s="306">
        <f t="shared" ca="1" si="433"/>
        <v>1.0816329254807258</v>
      </c>
      <c r="AH925" s="304">
        <f t="shared" ca="1" si="434"/>
        <v>-8.7171031543180018</v>
      </c>
    </row>
    <row r="926" spans="1:34" x14ac:dyDescent="0.25">
      <c r="A926" s="347">
        <f t="shared" ca="1" si="412"/>
        <v>1E-4</v>
      </c>
      <c r="B926" s="304">
        <f t="shared" ca="1" si="413"/>
        <v>42.904300000000418</v>
      </c>
      <c r="D926" s="306">
        <f t="shared" ca="1" si="414"/>
        <v>-0.41760999830709772</v>
      </c>
      <c r="E926" s="307">
        <f t="shared" ca="1" si="415"/>
        <v>-1.1028800521889313</v>
      </c>
      <c r="F926" s="304">
        <f t="shared" ca="1" si="416"/>
        <v>1.1792974689205069</v>
      </c>
      <c r="G926" s="306">
        <f t="shared" ca="1" si="417"/>
        <v>6.4621769533679245</v>
      </c>
      <c r="H926" s="307">
        <f t="shared" ca="1" si="418"/>
        <v>-134.73661971806041</v>
      </c>
      <c r="I926" s="304">
        <f t="shared" ca="1" si="419"/>
        <v>134.89149870924359</v>
      </c>
      <c r="J926" s="306">
        <f t="shared" ca="1" si="420"/>
        <v>638.40045476391947</v>
      </c>
      <c r="K926" s="307">
        <f t="shared" ca="1" si="421"/>
        <v>-10.163623505227672</v>
      </c>
      <c r="L926" s="304">
        <f t="shared" ca="1" si="406"/>
        <v>638.48135437578378</v>
      </c>
      <c r="M926" s="306">
        <f t="shared" ca="1" si="422"/>
        <v>-1.5228715028626276</v>
      </c>
      <c r="N926" s="304">
        <f t="shared" ca="1" si="423"/>
        <v>-87.254109854773432</v>
      </c>
      <c r="P926" s="310">
        <f t="shared" ca="1" si="424"/>
        <v>23</v>
      </c>
      <c r="Q926" s="304">
        <f t="shared" ca="1" si="425"/>
        <v>0</v>
      </c>
      <c r="R926" s="306">
        <f t="shared" ca="1" si="426"/>
        <v>0</v>
      </c>
      <c r="S926" s="307">
        <f t="shared" ca="1" si="427"/>
        <v>10.637999999999975</v>
      </c>
      <c r="T926" s="304">
        <f t="shared" ca="1" si="407"/>
        <v>104.35877999999975</v>
      </c>
      <c r="U926" s="311">
        <f t="shared" ca="1" si="408"/>
        <v>0</v>
      </c>
      <c r="V926" s="306">
        <f t="shared" ca="1" si="409"/>
        <v>1.226245676908946</v>
      </c>
      <c r="W926" s="304">
        <f t="shared" ca="1" si="410"/>
        <v>92.73309067510111</v>
      </c>
      <c r="Y926" s="314" t="str">
        <f t="shared" ca="1" si="428"/>
        <v/>
      </c>
      <c r="Z926" s="315" t="str">
        <f t="shared" ca="1" si="429"/>
        <v/>
      </c>
      <c r="AA926" s="316" t="str">
        <f t="shared" ca="1" si="430"/>
        <v/>
      </c>
      <c r="AC926" s="310" t="e">
        <f t="shared" ca="1" si="431"/>
        <v>#N/A</v>
      </c>
      <c r="AD926" s="323" t="e">
        <f t="shared" ca="1" si="432"/>
        <v>#N/A</v>
      </c>
      <c r="AE926" s="324" t="e">
        <f t="shared" ca="1" si="411"/>
        <v>#N/A</v>
      </c>
      <c r="AG926" s="306">
        <f t="shared" ca="1" si="433"/>
        <v>1.0816073643569517</v>
      </c>
      <c r="AH926" s="304">
        <f t="shared" ca="1" si="434"/>
        <v>-8.7171288791812351</v>
      </c>
    </row>
    <row r="927" spans="1:34" x14ac:dyDescent="0.25">
      <c r="A927" s="347">
        <f t="shared" ca="1" si="412"/>
        <v>1E-4</v>
      </c>
      <c r="B927" s="304">
        <f t="shared" ca="1" si="413"/>
        <v>42.904400000000422</v>
      </c>
      <c r="D927" s="306">
        <f t="shared" ca="1" si="414"/>
        <v>-0.41760819709601527</v>
      </c>
      <c r="E927" s="307">
        <f t="shared" ca="1" si="415"/>
        <v>-1.1028542116220397</v>
      </c>
      <c r="F927" s="304">
        <f t="shared" ca="1" si="416"/>
        <v>1.1792726649822147</v>
      </c>
      <c r="G927" s="306">
        <f t="shared" ca="1" si="417"/>
        <v>6.4621351925482147</v>
      </c>
      <c r="H927" s="307">
        <f t="shared" ca="1" si="418"/>
        <v>-134.73673000348157</v>
      </c>
      <c r="I927" s="304">
        <f t="shared" ca="1" si="419"/>
        <v>134.8916068674321</v>
      </c>
      <c r="J927" s="306">
        <f t="shared" ca="1" si="420"/>
        <v>638.40045476391947</v>
      </c>
      <c r="K927" s="307">
        <f t="shared" ca="1" si="421"/>
        <v>-10.177097172713749</v>
      </c>
      <c r="L927" s="304">
        <f t="shared" ca="1" si="406"/>
        <v>638.48156899760386</v>
      </c>
      <c r="M927" s="306">
        <f t="shared" ca="1" si="422"/>
        <v>-1.5228718512627872</v>
      </c>
      <c r="N927" s="304">
        <f t="shared" ca="1" si="423"/>
        <v>-87.254129816632158</v>
      </c>
      <c r="P927" s="310">
        <f t="shared" ca="1" si="424"/>
        <v>23</v>
      </c>
      <c r="Q927" s="304">
        <f t="shared" ca="1" si="425"/>
        <v>0</v>
      </c>
      <c r="R927" s="306">
        <f t="shared" ca="1" si="426"/>
        <v>0</v>
      </c>
      <c r="S927" s="307">
        <f t="shared" ca="1" si="427"/>
        <v>10.637999999999975</v>
      </c>
      <c r="T927" s="304">
        <f t="shared" ca="1" si="407"/>
        <v>104.35877999999975</v>
      </c>
      <c r="U927" s="311">
        <f t="shared" ca="1" si="408"/>
        <v>0</v>
      </c>
      <c r="V927" s="306">
        <f t="shared" ca="1" si="409"/>
        <v>1.2262473291131371</v>
      </c>
      <c r="W927" s="304">
        <f t="shared" ca="1" si="410"/>
        <v>92.733364330748685</v>
      </c>
      <c r="Y927" s="314" t="str">
        <f t="shared" ca="1" si="428"/>
        <v/>
      </c>
      <c r="Z927" s="315" t="str">
        <f t="shared" ca="1" si="429"/>
        <v/>
      </c>
      <c r="AA927" s="316" t="str">
        <f t="shared" ca="1" si="430"/>
        <v/>
      </c>
      <c r="AC927" s="310" t="e">
        <f t="shared" ca="1" si="431"/>
        <v>#N/A</v>
      </c>
      <c r="AD927" s="323" t="e">
        <f t="shared" ca="1" si="432"/>
        <v>#N/A</v>
      </c>
      <c r="AE927" s="324" t="e">
        <f t="shared" ca="1" si="411"/>
        <v>#N/A</v>
      </c>
      <c r="AG927" s="306">
        <f t="shared" ca="1" si="433"/>
        <v>1.0815818034867064</v>
      </c>
      <c r="AH927" s="304">
        <f t="shared" ca="1" si="434"/>
        <v>-8.7171546037884315</v>
      </c>
    </row>
    <row r="928" spans="1:34" x14ac:dyDescent="0.25">
      <c r="A928" s="347">
        <f t="shared" ca="1" si="412"/>
        <v>1E-4</v>
      </c>
      <c r="B928" s="304">
        <f t="shared" ca="1" si="413"/>
        <v>42.904500000000425</v>
      </c>
      <c r="D928" s="306">
        <f t="shared" ca="1" si="414"/>
        <v>-0.41760639587918252</v>
      </c>
      <c r="E928" s="307">
        <f t="shared" ca="1" si="415"/>
        <v>-1.1028283713122686</v>
      </c>
      <c r="F928" s="304">
        <f t="shared" ca="1" si="416"/>
        <v>1.1792478613296153</v>
      </c>
      <c r="G928" s="306">
        <f t="shared" ca="1" si="417"/>
        <v>6.4620934319086265</v>
      </c>
      <c r="H928" s="307">
        <f t="shared" ca="1" si="418"/>
        <v>-134.73684028631871</v>
      </c>
      <c r="I928" s="304">
        <f t="shared" ca="1" si="419"/>
        <v>134.89171502306459</v>
      </c>
      <c r="J928" s="306">
        <f t="shared" ca="1" si="420"/>
        <v>638.40045476391947</v>
      </c>
      <c r="K928" s="307">
        <f t="shared" ca="1" si="421"/>
        <v>-10.190570851228239</v>
      </c>
      <c r="L928" s="304">
        <f t="shared" ca="1" si="406"/>
        <v>638.48178390385817</v>
      </c>
      <c r="M928" s="306">
        <f t="shared" ca="1" si="422"/>
        <v>-1.5228721996601369</v>
      </c>
      <c r="N928" s="304">
        <f t="shared" ca="1" si="423"/>
        <v>-87.254149778329889</v>
      </c>
      <c r="P928" s="310">
        <f t="shared" ca="1" si="424"/>
        <v>23</v>
      </c>
      <c r="Q928" s="304">
        <f t="shared" ca="1" si="425"/>
        <v>0</v>
      </c>
      <c r="R928" s="306">
        <f t="shared" ca="1" si="426"/>
        <v>0</v>
      </c>
      <c r="S928" s="307">
        <f t="shared" ca="1" si="427"/>
        <v>10.637999999999975</v>
      </c>
      <c r="T928" s="304">
        <f t="shared" ca="1" si="407"/>
        <v>104.35877999999975</v>
      </c>
      <c r="U928" s="311">
        <f t="shared" ca="1" si="408"/>
        <v>0</v>
      </c>
      <c r="V928" s="306">
        <f t="shared" ca="1" si="409"/>
        <v>1.2262489813209076</v>
      </c>
      <c r="W928" s="304">
        <f t="shared" ca="1" si="410"/>
        <v>92.733637983672551</v>
      </c>
      <c r="Y928" s="314" t="str">
        <f t="shared" ca="1" si="428"/>
        <v/>
      </c>
      <c r="Z928" s="315" t="str">
        <f t="shared" ca="1" si="429"/>
        <v/>
      </c>
      <c r="AA928" s="316" t="str">
        <f t="shared" ca="1" si="430"/>
        <v/>
      </c>
      <c r="AC928" s="310" t="e">
        <f t="shared" ca="1" si="431"/>
        <v>#N/A</v>
      </c>
      <c r="AD928" s="323" t="e">
        <f t="shared" ca="1" si="432"/>
        <v>#N/A</v>
      </c>
      <c r="AE928" s="324" t="e">
        <f t="shared" ca="1" si="411"/>
        <v>#N/A</v>
      </c>
      <c r="AG928" s="306">
        <f t="shared" ca="1" si="433"/>
        <v>1.0815562428699934</v>
      </c>
      <c r="AH928" s="304">
        <f t="shared" ca="1" si="434"/>
        <v>-8.7171803281395857</v>
      </c>
    </row>
    <row r="929" spans="1:34" x14ac:dyDescent="0.25">
      <c r="A929" s="347">
        <f t="shared" ca="1" si="412"/>
        <v>1E-4</v>
      </c>
      <c r="B929" s="304">
        <f t="shared" ca="1" si="413"/>
        <v>42.904600000000428</v>
      </c>
      <c r="D929" s="306">
        <f t="shared" ca="1" si="414"/>
        <v>-0.41760459465659633</v>
      </c>
      <c r="E929" s="307">
        <f t="shared" ca="1" si="415"/>
        <v>-1.102802531259611</v>
      </c>
      <c r="F929" s="304">
        <f t="shared" ca="1" si="416"/>
        <v>1.1792230579627019</v>
      </c>
      <c r="G929" s="306">
        <f t="shared" ca="1" si="417"/>
        <v>6.4620516714491609</v>
      </c>
      <c r="H929" s="307">
        <f t="shared" ca="1" si="418"/>
        <v>-134.73695056657183</v>
      </c>
      <c r="I929" s="304">
        <f t="shared" ca="1" si="419"/>
        <v>134.89182317614103</v>
      </c>
      <c r="J929" s="306">
        <f t="shared" ca="1" si="420"/>
        <v>638.40045476391947</v>
      </c>
      <c r="K929" s="307">
        <f t="shared" ca="1" si="421"/>
        <v>-10.204044540770884</v>
      </c>
      <c r="L929" s="304">
        <f t="shared" ca="1" si="406"/>
        <v>638.48199909454706</v>
      </c>
      <c r="M929" s="306">
        <f t="shared" ca="1" si="422"/>
        <v>-1.5228725480546763</v>
      </c>
      <c r="N929" s="304">
        <f t="shared" ca="1" si="423"/>
        <v>-87.254169739866597</v>
      </c>
      <c r="P929" s="310">
        <f t="shared" ca="1" si="424"/>
        <v>23</v>
      </c>
      <c r="Q929" s="304">
        <f t="shared" ca="1" si="425"/>
        <v>0</v>
      </c>
      <c r="R929" s="306">
        <f t="shared" ca="1" si="426"/>
        <v>0</v>
      </c>
      <c r="S929" s="307">
        <f t="shared" ca="1" si="427"/>
        <v>10.637999999999975</v>
      </c>
      <c r="T929" s="304">
        <f t="shared" ca="1" si="407"/>
        <v>104.35877999999975</v>
      </c>
      <c r="U929" s="311">
        <f t="shared" ca="1" si="408"/>
        <v>0</v>
      </c>
      <c r="V929" s="306">
        <f t="shared" ca="1" si="409"/>
        <v>1.2262506335322578</v>
      </c>
      <c r="W929" s="304">
        <f t="shared" ca="1" si="410"/>
        <v>92.733911633872665</v>
      </c>
      <c r="Y929" s="314" t="str">
        <f t="shared" ca="1" si="428"/>
        <v/>
      </c>
      <c r="Z929" s="315" t="str">
        <f t="shared" ca="1" si="429"/>
        <v/>
      </c>
      <c r="AA929" s="316" t="str">
        <f t="shared" ca="1" si="430"/>
        <v/>
      </c>
      <c r="AC929" s="310" t="e">
        <f t="shared" ca="1" si="431"/>
        <v>#N/A</v>
      </c>
      <c r="AD929" s="323" t="e">
        <f t="shared" ca="1" si="432"/>
        <v>#N/A</v>
      </c>
      <c r="AE929" s="324" t="e">
        <f t="shared" ca="1" si="411"/>
        <v>#N/A</v>
      </c>
      <c r="AG929" s="306">
        <f t="shared" ca="1" si="433"/>
        <v>1.0815306825068092</v>
      </c>
      <c r="AH929" s="304">
        <f t="shared" ca="1" si="434"/>
        <v>-8.7172060522347028</v>
      </c>
    </row>
    <row r="930" spans="1:34" x14ac:dyDescent="0.25">
      <c r="A930" s="347">
        <f t="shared" ca="1" si="412"/>
        <v>1E-4</v>
      </c>
      <c r="B930" s="304">
        <f t="shared" ca="1" si="413"/>
        <v>42.904700000000432</v>
      </c>
      <c r="D930" s="306">
        <f t="shared" ca="1" si="414"/>
        <v>-0.4176027934282589</v>
      </c>
      <c r="E930" s="307">
        <f t="shared" ca="1" si="415"/>
        <v>-1.1027766914640722</v>
      </c>
      <c r="F930" s="304">
        <f t="shared" ca="1" si="416"/>
        <v>1.179198254881481</v>
      </c>
      <c r="G930" s="306">
        <f t="shared" ca="1" si="417"/>
        <v>6.4620099111698179</v>
      </c>
      <c r="H930" s="307">
        <f t="shared" ca="1" si="418"/>
        <v>-134.73706084424097</v>
      </c>
      <c r="I930" s="304">
        <f t="shared" ca="1" si="419"/>
        <v>134.89193132666145</v>
      </c>
      <c r="J930" s="306">
        <f t="shared" ca="1" si="420"/>
        <v>638.40045476391947</v>
      </c>
      <c r="K930" s="307">
        <f t="shared" ca="1" si="421"/>
        <v>-10.217518241341425</v>
      </c>
      <c r="L930" s="304">
        <f t="shared" ca="1" si="406"/>
        <v>638.48221456967099</v>
      </c>
      <c r="M930" s="306">
        <f t="shared" ca="1" si="422"/>
        <v>-1.5228728964464056</v>
      </c>
      <c r="N930" s="304">
        <f t="shared" ca="1" si="423"/>
        <v>-87.254189701242296</v>
      </c>
      <c r="P930" s="310">
        <f t="shared" ca="1" si="424"/>
        <v>23</v>
      </c>
      <c r="Q930" s="304">
        <f t="shared" ca="1" si="425"/>
        <v>0</v>
      </c>
      <c r="R930" s="306">
        <f t="shared" ca="1" si="426"/>
        <v>0</v>
      </c>
      <c r="S930" s="307">
        <f t="shared" ca="1" si="427"/>
        <v>10.637999999999975</v>
      </c>
      <c r="T930" s="304">
        <f t="shared" ca="1" si="407"/>
        <v>104.35877999999975</v>
      </c>
      <c r="U930" s="311">
        <f t="shared" ca="1" si="408"/>
        <v>0</v>
      </c>
      <c r="V930" s="306">
        <f t="shared" ca="1" si="409"/>
        <v>1.2262522857471876</v>
      </c>
      <c r="W930" s="304">
        <f t="shared" ca="1" si="410"/>
        <v>92.734185281349056</v>
      </c>
      <c r="Y930" s="314" t="str">
        <f t="shared" ca="1" si="428"/>
        <v/>
      </c>
      <c r="Z930" s="315" t="str">
        <f t="shared" ca="1" si="429"/>
        <v/>
      </c>
      <c r="AA930" s="316" t="str">
        <f t="shared" ca="1" si="430"/>
        <v/>
      </c>
      <c r="AC930" s="310" t="e">
        <f t="shared" ca="1" si="431"/>
        <v>#N/A</v>
      </c>
      <c r="AD930" s="323" t="e">
        <f t="shared" ca="1" si="432"/>
        <v>#N/A</v>
      </c>
      <c r="AE930" s="324" t="e">
        <f t="shared" ca="1" si="411"/>
        <v>#N/A</v>
      </c>
      <c r="AG930" s="306">
        <f t="shared" ca="1" si="433"/>
        <v>1.0815051223971519</v>
      </c>
      <c r="AH930" s="304">
        <f t="shared" ca="1" si="434"/>
        <v>-8.7172317760737812</v>
      </c>
    </row>
    <row r="931" spans="1:34" x14ac:dyDescent="0.25">
      <c r="A931" s="347">
        <f t="shared" ca="1" si="412"/>
        <v>1E-4</v>
      </c>
      <c r="B931" s="304">
        <f t="shared" ca="1" si="413"/>
        <v>42.904800000000435</v>
      </c>
      <c r="D931" s="306">
        <f t="shared" ca="1" si="414"/>
        <v>-0.41760099219417085</v>
      </c>
      <c r="E931" s="307">
        <f t="shared" ca="1" si="415"/>
        <v>-1.1027508519256468</v>
      </c>
      <c r="F931" s="304">
        <f t="shared" ca="1" si="416"/>
        <v>1.1791734520859498</v>
      </c>
      <c r="G931" s="306">
        <f t="shared" ca="1" si="417"/>
        <v>6.4619681510705984</v>
      </c>
      <c r="H931" s="307">
        <f t="shared" ca="1" si="418"/>
        <v>-134.73717111932618</v>
      </c>
      <c r="I931" s="304">
        <f t="shared" ca="1" si="419"/>
        <v>134.8920394746259</v>
      </c>
      <c r="J931" s="306">
        <f t="shared" ca="1" si="420"/>
        <v>638.40045476391947</v>
      </c>
      <c r="K931" s="307">
        <f t="shared" ca="1" si="421"/>
        <v>-10.230991952939604</v>
      </c>
      <c r="L931" s="304">
        <f t="shared" ca="1" si="406"/>
        <v>638.48243032923017</v>
      </c>
      <c r="M931" s="306">
        <f t="shared" ca="1" si="422"/>
        <v>-1.5228732448353248</v>
      </c>
      <c r="N931" s="304">
        <f t="shared" ca="1" si="423"/>
        <v>-87.254209662457001</v>
      </c>
      <c r="P931" s="310">
        <f t="shared" ca="1" si="424"/>
        <v>23</v>
      </c>
      <c r="Q931" s="304">
        <f t="shared" ca="1" si="425"/>
        <v>0</v>
      </c>
      <c r="R931" s="306">
        <f t="shared" ca="1" si="426"/>
        <v>0</v>
      </c>
      <c r="S931" s="307">
        <f t="shared" ca="1" si="427"/>
        <v>10.637999999999975</v>
      </c>
      <c r="T931" s="304">
        <f t="shared" ca="1" si="407"/>
        <v>104.35877999999975</v>
      </c>
      <c r="U931" s="311">
        <f t="shared" ca="1" si="408"/>
        <v>0</v>
      </c>
      <c r="V931" s="306">
        <f t="shared" ca="1" si="409"/>
        <v>1.2262539379656969</v>
      </c>
      <c r="W931" s="304">
        <f t="shared" ca="1" si="410"/>
        <v>92.734458926101752</v>
      </c>
      <c r="Y931" s="314" t="str">
        <f t="shared" ca="1" si="428"/>
        <v/>
      </c>
      <c r="Z931" s="315" t="str">
        <f t="shared" ca="1" si="429"/>
        <v/>
      </c>
      <c r="AA931" s="316" t="str">
        <f t="shared" ca="1" si="430"/>
        <v/>
      </c>
      <c r="AC931" s="310" t="e">
        <f t="shared" ca="1" si="431"/>
        <v>#N/A</v>
      </c>
      <c r="AD931" s="323" t="e">
        <f t="shared" ca="1" si="432"/>
        <v>#N/A</v>
      </c>
      <c r="AE931" s="324" t="e">
        <f t="shared" ca="1" si="411"/>
        <v>#N/A</v>
      </c>
      <c r="AG931" s="306">
        <f t="shared" ca="1" si="433"/>
        <v>1.0814795625410216</v>
      </c>
      <c r="AH931" s="304">
        <f t="shared" ca="1" si="434"/>
        <v>-8.7172574996568226</v>
      </c>
    </row>
    <row r="932" spans="1:34" x14ac:dyDescent="0.25">
      <c r="A932" s="347">
        <f t="shared" ca="1" si="412"/>
        <v>1E-4</v>
      </c>
      <c r="B932" s="304">
        <f t="shared" ca="1" si="413"/>
        <v>42.904900000000438</v>
      </c>
      <c r="D932" s="306">
        <f t="shared" ca="1" si="414"/>
        <v>-0.41759919095433096</v>
      </c>
      <c r="E932" s="307">
        <f t="shared" ca="1" si="415"/>
        <v>-1.1027250126443349</v>
      </c>
      <c r="F932" s="304">
        <f t="shared" ca="1" si="416"/>
        <v>1.1791486495761085</v>
      </c>
      <c r="G932" s="306">
        <f t="shared" ca="1" si="417"/>
        <v>6.4619263911515032</v>
      </c>
      <c r="H932" s="307">
        <f t="shared" ca="1" si="418"/>
        <v>-134.73728139182745</v>
      </c>
      <c r="I932" s="304">
        <f t="shared" ca="1" si="419"/>
        <v>134.89214762003439</v>
      </c>
      <c r="J932" s="306">
        <f t="shared" ca="1" si="420"/>
        <v>638.40045476391947</v>
      </c>
      <c r="K932" s="307">
        <f t="shared" ca="1" si="421"/>
        <v>-10.244465675565161</v>
      </c>
      <c r="L932" s="304">
        <f t="shared" ca="1" si="406"/>
        <v>638.48264637322529</v>
      </c>
      <c r="M932" s="306">
        <f t="shared" ca="1" si="422"/>
        <v>-1.5228735932214339</v>
      </c>
      <c r="N932" s="304">
        <f t="shared" ca="1" si="423"/>
        <v>-87.254229623510696</v>
      </c>
      <c r="P932" s="310">
        <f t="shared" ca="1" si="424"/>
        <v>23</v>
      </c>
      <c r="Q932" s="304">
        <f t="shared" ca="1" si="425"/>
        <v>0</v>
      </c>
      <c r="R932" s="306">
        <f t="shared" ca="1" si="426"/>
        <v>0</v>
      </c>
      <c r="S932" s="307">
        <f t="shared" ca="1" si="427"/>
        <v>10.637999999999975</v>
      </c>
      <c r="T932" s="304">
        <f t="shared" ca="1" si="407"/>
        <v>104.35877999999975</v>
      </c>
      <c r="U932" s="311">
        <f t="shared" ca="1" si="408"/>
        <v>0</v>
      </c>
      <c r="V932" s="306">
        <f t="shared" ca="1" si="409"/>
        <v>1.2262555901877858</v>
      </c>
      <c r="W932" s="304">
        <f t="shared" ca="1" si="410"/>
        <v>92.734732568130781</v>
      </c>
      <c r="Y932" s="314" t="str">
        <f t="shared" ca="1" si="428"/>
        <v/>
      </c>
      <c r="Z932" s="315" t="str">
        <f t="shared" ca="1" si="429"/>
        <v/>
      </c>
      <c r="AA932" s="316" t="str">
        <f t="shared" ca="1" si="430"/>
        <v/>
      </c>
      <c r="AC932" s="310" t="e">
        <f t="shared" ca="1" si="431"/>
        <v>#N/A</v>
      </c>
      <c r="AD932" s="323" t="e">
        <f t="shared" ca="1" si="432"/>
        <v>#N/A</v>
      </c>
      <c r="AE932" s="324" t="e">
        <f t="shared" ca="1" si="411"/>
        <v>#N/A</v>
      </c>
      <c r="AG932" s="306">
        <f t="shared" ca="1" si="433"/>
        <v>1.0814540029384148</v>
      </c>
      <c r="AH932" s="304">
        <f t="shared" ca="1" si="434"/>
        <v>-8.7172832229838288</v>
      </c>
    </row>
    <row r="933" spans="1:34" x14ac:dyDescent="0.25">
      <c r="A933" s="347">
        <f t="shared" ca="1" si="412"/>
        <v>1E-4</v>
      </c>
      <c r="B933" s="304">
        <f t="shared" ca="1" si="413"/>
        <v>42.905000000000442</v>
      </c>
      <c r="D933" s="306">
        <f t="shared" ca="1" si="414"/>
        <v>-0.41759738970874166</v>
      </c>
      <c r="E933" s="307">
        <f t="shared" ca="1" si="415"/>
        <v>-1.102699173620131</v>
      </c>
      <c r="F933" s="304">
        <f t="shared" ca="1" si="416"/>
        <v>1.1791238473519541</v>
      </c>
      <c r="G933" s="306">
        <f t="shared" ca="1" si="417"/>
        <v>6.4618846314125324</v>
      </c>
      <c r="H933" s="307">
        <f t="shared" ca="1" si="418"/>
        <v>-134.73739166174482</v>
      </c>
      <c r="I933" s="304">
        <f t="shared" ca="1" si="419"/>
        <v>134.89225576288695</v>
      </c>
      <c r="J933" s="306">
        <f t="shared" ca="1" si="420"/>
        <v>638.40045476391947</v>
      </c>
      <c r="K933" s="307">
        <f t="shared" ca="1" si="421"/>
        <v>-10.25793940921784</v>
      </c>
      <c r="L933" s="304">
        <f t="shared" ca="1" si="406"/>
        <v>638.48286270165647</v>
      </c>
      <c r="M933" s="306">
        <f t="shared" ca="1" si="422"/>
        <v>-1.522873941604733</v>
      </c>
      <c r="N933" s="304">
        <f t="shared" ca="1" si="423"/>
        <v>-87.254249584403382</v>
      </c>
      <c r="P933" s="310">
        <f t="shared" ca="1" si="424"/>
        <v>23</v>
      </c>
      <c r="Q933" s="304">
        <f t="shared" ca="1" si="425"/>
        <v>0</v>
      </c>
      <c r="R933" s="306">
        <f t="shared" ca="1" si="426"/>
        <v>0</v>
      </c>
      <c r="S933" s="307">
        <f t="shared" ca="1" si="427"/>
        <v>10.637999999999975</v>
      </c>
      <c r="T933" s="304">
        <f t="shared" ca="1" si="407"/>
        <v>104.35877999999975</v>
      </c>
      <c r="U933" s="311">
        <f t="shared" ca="1" si="408"/>
        <v>0</v>
      </c>
      <c r="V933" s="306">
        <f t="shared" ca="1" si="409"/>
        <v>1.2262572424134541</v>
      </c>
      <c r="W933" s="304">
        <f t="shared" ca="1" si="410"/>
        <v>92.735006207436115</v>
      </c>
      <c r="Y933" s="314" t="str">
        <f t="shared" ca="1" si="428"/>
        <v/>
      </c>
      <c r="Z933" s="315" t="str">
        <f t="shared" ca="1" si="429"/>
        <v/>
      </c>
      <c r="AA933" s="316" t="str">
        <f t="shared" ca="1" si="430"/>
        <v/>
      </c>
      <c r="AC933" s="310" t="e">
        <f t="shared" ca="1" si="431"/>
        <v>#N/A</v>
      </c>
      <c r="AD933" s="323" t="e">
        <f t="shared" ca="1" si="432"/>
        <v>#N/A</v>
      </c>
      <c r="AE933" s="324" t="e">
        <f t="shared" ca="1" si="411"/>
        <v>#N/A</v>
      </c>
      <c r="AG933" s="306">
        <f t="shared" ca="1" si="433"/>
        <v>1.0814284435893331</v>
      </c>
      <c r="AH933" s="304">
        <f t="shared" ca="1" si="434"/>
        <v>-8.7173089460548034</v>
      </c>
    </row>
    <row r="934" spans="1:34" x14ac:dyDescent="0.25">
      <c r="A934" s="347">
        <f t="shared" ca="1" si="412"/>
        <v>1E-4</v>
      </c>
      <c r="B934" s="304">
        <f t="shared" ca="1" si="413"/>
        <v>42.905100000000445</v>
      </c>
      <c r="D934" s="306">
        <f t="shared" ca="1" si="414"/>
        <v>-0.4175955884574013</v>
      </c>
      <c r="E934" s="307">
        <f t="shared" ca="1" si="415"/>
        <v>-1.1026733348530406</v>
      </c>
      <c r="F934" s="304">
        <f t="shared" ca="1" si="416"/>
        <v>1.1790990454134924</v>
      </c>
      <c r="G934" s="306">
        <f t="shared" ca="1" si="417"/>
        <v>6.4618428718536869</v>
      </c>
      <c r="H934" s="307">
        <f t="shared" ca="1" si="418"/>
        <v>-134.73750192907832</v>
      </c>
      <c r="I934" s="304">
        <f t="shared" ca="1" si="419"/>
        <v>134.89236390318359</v>
      </c>
      <c r="J934" s="306">
        <f t="shared" ca="1" si="420"/>
        <v>638.40045476391947</v>
      </c>
      <c r="K934" s="307">
        <f t="shared" ca="1" si="421"/>
        <v>-10.271413153897381</v>
      </c>
      <c r="L934" s="304">
        <f t="shared" ca="1" si="406"/>
        <v>638.48307931452439</v>
      </c>
      <c r="M934" s="306">
        <f t="shared" ca="1" si="422"/>
        <v>-1.5228742899852221</v>
      </c>
      <c r="N934" s="304">
        <f t="shared" ca="1" si="423"/>
        <v>-87.254269545135074</v>
      </c>
      <c r="P934" s="310">
        <f t="shared" ca="1" si="424"/>
        <v>23</v>
      </c>
      <c r="Q934" s="304">
        <f t="shared" ca="1" si="425"/>
        <v>0</v>
      </c>
      <c r="R934" s="306">
        <f t="shared" ca="1" si="426"/>
        <v>0</v>
      </c>
      <c r="S934" s="307">
        <f t="shared" ca="1" si="427"/>
        <v>10.637999999999975</v>
      </c>
      <c r="T934" s="304">
        <f t="shared" ca="1" si="407"/>
        <v>104.35877999999975</v>
      </c>
      <c r="U934" s="311">
        <f t="shared" ca="1" si="408"/>
        <v>0</v>
      </c>
      <c r="V934" s="306">
        <f t="shared" ca="1" si="409"/>
        <v>1.226258894642702</v>
      </c>
      <c r="W934" s="304">
        <f t="shared" ca="1" si="410"/>
        <v>92.735279844017811</v>
      </c>
      <c r="Y934" s="314" t="str">
        <f t="shared" ca="1" si="428"/>
        <v/>
      </c>
      <c r="Z934" s="315" t="str">
        <f t="shared" ca="1" si="429"/>
        <v/>
      </c>
      <c r="AA934" s="316" t="str">
        <f t="shared" ca="1" si="430"/>
        <v/>
      </c>
      <c r="AC934" s="310" t="e">
        <f t="shared" ca="1" si="431"/>
        <v>#N/A</v>
      </c>
      <c r="AD934" s="323" t="e">
        <f t="shared" ca="1" si="432"/>
        <v>#N/A</v>
      </c>
      <c r="AE934" s="324" t="e">
        <f t="shared" ca="1" si="411"/>
        <v>#N/A</v>
      </c>
      <c r="AG934" s="306">
        <f t="shared" ca="1" si="433"/>
        <v>1.0814028844937731</v>
      </c>
      <c r="AH934" s="304">
        <f t="shared" ca="1" si="434"/>
        <v>-8.7173346688697428</v>
      </c>
    </row>
    <row r="935" spans="1:34" x14ac:dyDescent="0.25">
      <c r="A935" s="347">
        <f t="shared" ca="1" si="412"/>
        <v>1E-4</v>
      </c>
      <c r="B935" s="304">
        <f t="shared" ca="1" si="413"/>
        <v>42.905200000000448</v>
      </c>
      <c r="D935" s="306">
        <f t="shared" ca="1" si="414"/>
        <v>-0.41759378720031087</v>
      </c>
      <c r="E935" s="307">
        <f t="shared" ca="1" si="415"/>
        <v>-1.1026474963430566</v>
      </c>
      <c r="F935" s="304">
        <f t="shared" ca="1" si="416"/>
        <v>1.1790742437607182</v>
      </c>
      <c r="G935" s="306">
        <f t="shared" ca="1" si="417"/>
        <v>6.4618011124749666</v>
      </c>
      <c r="H935" s="307">
        <f t="shared" ca="1" si="418"/>
        <v>-134.73761219382794</v>
      </c>
      <c r="I935" s="304">
        <f t="shared" ca="1" si="419"/>
        <v>134.89247204092433</v>
      </c>
      <c r="J935" s="306">
        <f t="shared" ca="1" si="420"/>
        <v>638.40045476391947</v>
      </c>
      <c r="K935" s="307">
        <f t="shared" ca="1" si="421"/>
        <v>-10.284886909603527</v>
      </c>
      <c r="L935" s="304">
        <f t="shared" ca="1" si="406"/>
        <v>638.48329621182927</v>
      </c>
      <c r="M935" s="306">
        <f t="shared" ca="1" si="422"/>
        <v>-1.5228746383629013</v>
      </c>
      <c r="N935" s="304">
        <f t="shared" ca="1" si="423"/>
        <v>-87.254289505705771</v>
      </c>
      <c r="P935" s="310">
        <f t="shared" ca="1" si="424"/>
        <v>23</v>
      </c>
      <c r="Q935" s="304">
        <f t="shared" ca="1" si="425"/>
        <v>0</v>
      </c>
      <c r="R935" s="306">
        <f t="shared" ca="1" si="426"/>
        <v>0</v>
      </c>
      <c r="S935" s="307">
        <f t="shared" ca="1" si="427"/>
        <v>10.637999999999975</v>
      </c>
      <c r="T935" s="304">
        <f t="shared" ca="1" si="407"/>
        <v>104.35877999999975</v>
      </c>
      <c r="U935" s="311">
        <f t="shared" ca="1" si="408"/>
        <v>0</v>
      </c>
      <c r="V935" s="306">
        <f t="shared" ca="1" si="409"/>
        <v>1.2262605468755297</v>
      </c>
      <c r="W935" s="304">
        <f t="shared" ca="1" si="410"/>
        <v>92.735553477875811</v>
      </c>
      <c r="Y935" s="314" t="str">
        <f t="shared" ca="1" si="428"/>
        <v/>
      </c>
      <c r="Z935" s="315" t="str">
        <f t="shared" ca="1" si="429"/>
        <v/>
      </c>
      <c r="AA935" s="316" t="str">
        <f t="shared" ca="1" si="430"/>
        <v/>
      </c>
      <c r="AC935" s="310" t="e">
        <f t="shared" ca="1" si="431"/>
        <v>#N/A</v>
      </c>
      <c r="AD935" s="323" t="e">
        <f t="shared" ca="1" si="432"/>
        <v>#N/A</v>
      </c>
      <c r="AE935" s="324" t="e">
        <f t="shared" ca="1" si="411"/>
        <v>#N/A</v>
      </c>
      <c r="AG935" s="306">
        <f t="shared" ca="1" si="433"/>
        <v>1.0813773256517347</v>
      </c>
      <c r="AH935" s="304">
        <f t="shared" ca="1" si="434"/>
        <v>-8.7173603914286542</v>
      </c>
    </row>
    <row r="936" spans="1:34" x14ac:dyDescent="0.25">
      <c r="A936" s="347">
        <f t="shared" ca="1" si="412"/>
        <v>1E-4</v>
      </c>
      <c r="B936" s="304">
        <f t="shared" ca="1" si="413"/>
        <v>42.905300000000452</v>
      </c>
      <c r="D936" s="306">
        <f t="shared" ca="1" si="414"/>
        <v>-0.41759198593747043</v>
      </c>
      <c r="E936" s="307">
        <f t="shared" ca="1" si="415"/>
        <v>-1.1026216580901842</v>
      </c>
      <c r="F936" s="304">
        <f t="shared" ca="1" si="416"/>
        <v>1.1790494423936375</v>
      </c>
      <c r="G936" s="306">
        <f t="shared" ca="1" si="417"/>
        <v>6.4617593532763724</v>
      </c>
      <c r="H936" s="307">
        <f t="shared" ca="1" si="418"/>
        <v>-134.73772245599375</v>
      </c>
      <c r="I936" s="304">
        <f t="shared" ca="1" si="419"/>
        <v>134.89258017610922</v>
      </c>
      <c r="J936" s="306">
        <f t="shared" ca="1" si="420"/>
        <v>638.40045476391947</v>
      </c>
      <c r="K936" s="307">
        <f t="shared" ca="1" si="421"/>
        <v>-10.298360676336017</v>
      </c>
      <c r="L936" s="304">
        <f t="shared" ca="1" si="406"/>
        <v>638.48351339357157</v>
      </c>
      <c r="M936" s="306">
        <f t="shared" ca="1" si="422"/>
        <v>-1.5228749867377707</v>
      </c>
      <c r="N936" s="304">
        <f t="shared" ca="1" si="423"/>
        <v>-87.254309466115473</v>
      </c>
      <c r="P936" s="310">
        <f t="shared" ca="1" si="424"/>
        <v>23</v>
      </c>
      <c r="Q936" s="304">
        <f t="shared" ca="1" si="425"/>
        <v>0</v>
      </c>
      <c r="R936" s="306">
        <f t="shared" ca="1" si="426"/>
        <v>0</v>
      </c>
      <c r="S936" s="307">
        <f t="shared" ca="1" si="427"/>
        <v>10.637999999999975</v>
      </c>
      <c r="T936" s="304">
        <f t="shared" ca="1" si="407"/>
        <v>104.35877999999975</v>
      </c>
      <c r="U936" s="311">
        <f t="shared" ca="1" si="408"/>
        <v>0</v>
      </c>
      <c r="V936" s="306">
        <f t="shared" ca="1" si="409"/>
        <v>1.2262621991119365</v>
      </c>
      <c r="W936" s="304">
        <f t="shared" ca="1" si="410"/>
        <v>92.735827109010174</v>
      </c>
      <c r="Y936" s="314" t="str">
        <f t="shared" ca="1" si="428"/>
        <v/>
      </c>
      <c r="Z936" s="315" t="str">
        <f t="shared" ca="1" si="429"/>
        <v/>
      </c>
      <c r="AA936" s="316" t="str">
        <f t="shared" ca="1" si="430"/>
        <v/>
      </c>
      <c r="AC936" s="310" t="e">
        <f t="shared" ca="1" si="431"/>
        <v>#N/A</v>
      </c>
      <c r="AD936" s="323" t="e">
        <f t="shared" ca="1" si="432"/>
        <v>#N/A</v>
      </c>
      <c r="AE936" s="324" t="e">
        <f t="shared" ca="1" si="411"/>
        <v>#N/A</v>
      </c>
      <c r="AG936" s="306">
        <f t="shared" ca="1" si="433"/>
        <v>1.0813517670632198</v>
      </c>
      <c r="AH936" s="304">
        <f t="shared" ca="1" si="434"/>
        <v>-8.717386113731532</v>
      </c>
    </row>
    <row r="937" spans="1:34" x14ac:dyDescent="0.25">
      <c r="A937" s="347">
        <f t="shared" ca="1" si="412"/>
        <v>1E-4</v>
      </c>
      <c r="B937" s="304">
        <f t="shared" ca="1" si="413"/>
        <v>42.905400000000455</v>
      </c>
      <c r="D937" s="306">
        <f t="shared" ca="1" si="414"/>
        <v>-0.41759018466887882</v>
      </c>
      <c r="E937" s="307">
        <f t="shared" ca="1" si="415"/>
        <v>-1.1025958200944199</v>
      </c>
      <c r="F937" s="304">
        <f t="shared" ca="1" si="416"/>
        <v>1.1790246413122478</v>
      </c>
      <c r="G937" s="306">
        <f t="shared" ca="1" si="417"/>
        <v>6.4617175942579053</v>
      </c>
      <c r="H937" s="307">
        <f t="shared" ca="1" si="418"/>
        <v>-134.73783271557576</v>
      </c>
      <c r="I937" s="304">
        <f t="shared" ca="1" si="419"/>
        <v>134.89268830873829</v>
      </c>
      <c r="J937" s="306">
        <f t="shared" ca="1" si="420"/>
        <v>638.40045476391947</v>
      </c>
      <c r="K937" s="307">
        <f t="shared" ca="1" si="421"/>
        <v>-10.311834454094596</v>
      </c>
      <c r="L937" s="304">
        <f t="shared" ca="1" si="406"/>
        <v>638.48373085975163</v>
      </c>
      <c r="M937" s="306">
        <f t="shared" ca="1" si="422"/>
        <v>-1.5228753351098299</v>
      </c>
      <c r="N937" s="304">
        <f t="shared" ca="1" si="423"/>
        <v>-87.254329426364166</v>
      </c>
      <c r="P937" s="310">
        <f t="shared" ca="1" si="424"/>
        <v>23</v>
      </c>
      <c r="Q937" s="304">
        <f t="shared" ca="1" si="425"/>
        <v>0</v>
      </c>
      <c r="R937" s="306">
        <f t="shared" ca="1" si="426"/>
        <v>0</v>
      </c>
      <c r="S937" s="307">
        <f t="shared" ca="1" si="427"/>
        <v>10.637999999999975</v>
      </c>
      <c r="T937" s="304">
        <f t="shared" ca="1" si="407"/>
        <v>104.35877999999975</v>
      </c>
      <c r="U937" s="311">
        <f t="shared" ca="1" si="408"/>
        <v>0</v>
      </c>
      <c r="V937" s="306">
        <f t="shared" ca="1" si="409"/>
        <v>1.2262638513519226</v>
      </c>
      <c r="W937" s="304">
        <f t="shared" ca="1" si="410"/>
        <v>92.736100737420912</v>
      </c>
      <c r="Y937" s="314" t="str">
        <f t="shared" ca="1" si="428"/>
        <v/>
      </c>
      <c r="Z937" s="315" t="str">
        <f t="shared" ca="1" si="429"/>
        <v/>
      </c>
      <c r="AA937" s="316" t="str">
        <f t="shared" ca="1" si="430"/>
        <v/>
      </c>
      <c r="AC937" s="310" t="e">
        <f t="shared" ca="1" si="431"/>
        <v>#N/A</v>
      </c>
      <c r="AD937" s="323" t="e">
        <f t="shared" ca="1" si="432"/>
        <v>#N/A</v>
      </c>
      <c r="AE937" s="324" t="e">
        <f t="shared" ca="1" si="411"/>
        <v>#N/A</v>
      </c>
      <c r="AG937" s="306">
        <f t="shared" ca="1" si="433"/>
        <v>1.0813262087282247</v>
      </c>
      <c r="AH937" s="304">
        <f t="shared" ca="1" si="434"/>
        <v>-8.7174118357783783</v>
      </c>
    </row>
    <row r="938" spans="1:34" x14ac:dyDescent="0.25">
      <c r="A938" s="347">
        <f t="shared" ca="1" si="412"/>
        <v>1E-4</v>
      </c>
      <c r="B938" s="304">
        <f t="shared" ca="1" si="413"/>
        <v>42.905500000000458</v>
      </c>
      <c r="D938" s="306">
        <f t="shared" ca="1" si="414"/>
        <v>-0.41758838339454041</v>
      </c>
      <c r="E938" s="307">
        <f t="shared" ca="1" si="415"/>
        <v>-1.1025699823557602</v>
      </c>
      <c r="F938" s="304">
        <f t="shared" ca="1" si="416"/>
        <v>1.1789998405165487</v>
      </c>
      <c r="G938" s="306">
        <f t="shared" ca="1" si="417"/>
        <v>6.461675835419566</v>
      </c>
      <c r="H938" s="307">
        <f t="shared" ca="1" si="418"/>
        <v>-134.73794297257399</v>
      </c>
      <c r="I938" s="304">
        <f t="shared" ca="1" si="419"/>
        <v>134.89279643881153</v>
      </c>
      <c r="J938" s="306">
        <f t="shared" ca="1" si="420"/>
        <v>638.40045476391947</v>
      </c>
      <c r="K938" s="307">
        <f t="shared" ca="1" si="421"/>
        <v>-10.325308242879004</v>
      </c>
      <c r="L938" s="304">
        <f t="shared" ca="1" si="406"/>
        <v>638.48394861037002</v>
      </c>
      <c r="M938" s="306">
        <f t="shared" ca="1" si="422"/>
        <v>-1.5228756834790795</v>
      </c>
      <c r="N938" s="304">
        <f t="shared" ca="1" si="423"/>
        <v>-87.254349386451892</v>
      </c>
      <c r="P938" s="310">
        <f t="shared" ca="1" si="424"/>
        <v>23</v>
      </c>
      <c r="Q938" s="304">
        <f t="shared" ca="1" si="425"/>
        <v>0</v>
      </c>
      <c r="R938" s="306">
        <f t="shared" ca="1" si="426"/>
        <v>0</v>
      </c>
      <c r="S938" s="307">
        <f t="shared" ca="1" si="427"/>
        <v>10.637999999999975</v>
      </c>
      <c r="T938" s="304">
        <f t="shared" ca="1" si="407"/>
        <v>104.35877999999975</v>
      </c>
      <c r="U938" s="311">
        <f t="shared" ca="1" si="408"/>
        <v>0</v>
      </c>
      <c r="V938" s="306">
        <f t="shared" ca="1" si="409"/>
        <v>1.2262655035954879</v>
      </c>
      <c r="W938" s="304">
        <f t="shared" ca="1" si="410"/>
        <v>92.736374363107984</v>
      </c>
      <c r="Y938" s="314" t="str">
        <f t="shared" ca="1" si="428"/>
        <v/>
      </c>
      <c r="Z938" s="315" t="str">
        <f t="shared" ca="1" si="429"/>
        <v/>
      </c>
      <c r="AA938" s="316" t="str">
        <f t="shared" ca="1" si="430"/>
        <v/>
      </c>
      <c r="AC938" s="310" t="e">
        <f t="shared" ca="1" si="431"/>
        <v>#N/A</v>
      </c>
      <c r="AD938" s="323" t="e">
        <f t="shared" ca="1" si="432"/>
        <v>#N/A</v>
      </c>
      <c r="AE938" s="324" t="e">
        <f t="shared" ca="1" si="411"/>
        <v>#N/A</v>
      </c>
      <c r="AG938" s="306">
        <f t="shared" ca="1" si="433"/>
        <v>1.081300650646746</v>
      </c>
      <c r="AH938" s="304">
        <f t="shared" ca="1" si="434"/>
        <v>-8.7174375575691982</v>
      </c>
    </row>
    <row r="939" spans="1:34" x14ac:dyDescent="0.25">
      <c r="A939" s="347">
        <f t="shared" ca="1" si="412"/>
        <v>1E-4</v>
      </c>
      <c r="B939" s="304">
        <f t="shared" ca="1" si="413"/>
        <v>42.905600000000462</v>
      </c>
      <c r="D939" s="306">
        <f t="shared" ca="1" si="414"/>
        <v>-0.41758658211444977</v>
      </c>
      <c r="E939" s="307">
        <f t="shared" ca="1" si="415"/>
        <v>-1.1025441448742104</v>
      </c>
      <c r="F939" s="304">
        <f t="shared" ca="1" si="416"/>
        <v>1.178975040006544</v>
      </c>
      <c r="G939" s="306">
        <f t="shared" ca="1" si="417"/>
        <v>6.4616340767613547</v>
      </c>
      <c r="H939" s="307">
        <f t="shared" ca="1" si="418"/>
        <v>-134.73805322698848</v>
      </c>
      <c r="I939" s="304">
        <f t="shared" ca="1" si="419"/>
        <v>134.89290456632901</v>
      </c>
      <c r="J939" s="306">
        <f t="shared" ca="1" si="420"/>
        <v>638.40045476391947</v>
      </c>
      <c r="K939" s="307">
        <f t="shared" ca="1" si="421"/>
        <v>-10.338782042688981</v>
      </c>
      <c r="L939" s="304">
        <f t="shared" ca="1" si="406"/>
        <v>638.48416664542697</v>
      </c>
      <c r="M939" s="306">
        <f t="shared" ca="1" si="422"/>
        <v>-1.522876031845519</v>
      </c>
      <c r="N939" s="304">
        <f t="shared" ca="1" si="423"/>
        <v>-87.254369346378596</v>
      </c>
      <c r="P939" s="310">
        <f t="shared" ca="1" si="424"/>
        <v>23</v>
      </c>
      <c r="Q939" s="304">
        <f t="shared" ca="1" si="425"/>
        <v>0</v>
      </c>
      <c r="R939" s="306">
        <f t="shared" ca="1" si="426"/>
        <v>0</v>
      </c>
      <c r="S939" s="307">
        <f t="shared" ca="1" si="427"/>
        <v>10.637999999999975</v>
      </c>
      <c r="T939" s="304">
        <f t="shared" ca="1" si="407"/>
        <v>104.35877999999975</v>
      </c>
      <c r="U939" s="311">
        <f t="shared" ca="1" si="408"/>
        <v>0</v>
      </c>
      <c r="V939" s="306">
        <f t="shared" ca="1" si="409"/>
        <v>1.2262671558426332</v>
      </c>
      <c r="W939" s="304">
        <f t="shared" ca="1" si="410"/>
        <v>92.736647986071532</v>
      </c>
      <c r="Y939" s="314" t="str">
        <f t="shared" ca="1" si="428"/>
        <v/>
      </c>
      <c r="Z939" s="315" t="str">
        <f t="shared" ca="1" si="429"/>
        <v/>
      </c>
      <c r="AA939" s="316" t="str">
        <f t="shared" ca="1" si="430"/>
        <v/>
      </c>
      <c r="AC939" s="310" t="e">
        <f t="shared" ca="1" si="431"/>
        <v>#N/A</v>
      </c>
      <c r="AD939" s="323" t="e">
        <f t="shared" ca="1" si="432"/>
        <v>#N/A</v>
      </c>
      <c r="AE939" s="324" t="e">
        <f t="shared" ca="1" si="411"/>
        <v>#N/A</v>
      </c>
      <c r="AG939" s="306">
        <f t="shared" ca="1" si="433"/>
        <v>1.0812750928187906</v>
      </c>
      <c r="AH939" s="304">
        <f t="shared" ca="1" si="434"/>
        <v>-8.7174632791039866</v>
      </c>
    </row>
    <row r="940" spans="1:34" x14ac:dyDescent="0.25">
      <c r="A940" s="347">
        <f t="shared" ca="1" si="412"/>
        <v>1E-4</v>
      </c>
      <c r="B940" s="304">
        <f t="shared" ca="1" si="413"/>
        <v>42.905700000000465</v>
      </c>
      <c r="D940" s="306">
        <f t="shared" ca="1" si="414"/>
        <v>-0.41758478082861372</v>
      </c>
      <c r="E940" s="307">
        <f t="shared" ca="1" si="415"/>
        <v>-1.102518307649758</v>
      </c>
      <c r="F940" s="304">
        <f t="shared" ca="1" si="416"/>
        <v>1.1789502397822258</v>
      </c>
      <c r="G940" s="306">
        <f t="shared" ca="1" si="417"/>
        <v>6.4615923182832722</v>
      </c>
      <c r="H940" s="307">
        <f t="shared" ca="1" si="418"/>
        <v>-134.73816347881925</v>
      </c>
      <c r="I940" s="304">
        <f t="shared" ca="1" si="419"/>
        <v>134.89301269129072</v>
      </c>
      <c r="J940" s="306">
        <f t="shared" ca="1" si="420"/>
        <v>638.40045476391947</v>
      </c>
      <c r="K940" s="307">
        <f t="shared" ca="1" si="421"/>
        <v>-10.352255853524271</v>
      </c>
      <c r="L940" s="304">
        <f t="shared" ca="1" si="406"/>
        <v>638.48438496492304</v>
      </c>
      <c r="M940" s="306">
        <f t="shared" ca="1" si="422"/>
        <v>-1.5228763802091489</v>
      </c>
      <c r="N940" s="304">
        <f t="shared" ca="1" si="423"/>
        <v>-87.254389306144319</v>
      </c>
      <c r="P940" s="310">
        <f t="shared" ca="1" si="424"/>
        <v>23</v>
      </c>
      <c r="Q940" s="304">
        <f t="shared" ca="1" si="425"/>
        <v>0</v>
      </c>
      <c r="R940" s="306">
        <f t="shared" ca="1" si="426"/>
        <v>0</v>
      </c>
      <c r="S940" s="307">
        <f t="shared" ca="1" si="427"/>
        <v>10.637999999999975</v>
      </c>
      <c r="T940" s="304">
        <f t="shared" ca="1" si="407"/>
        <v>104.35877999999975</v>
      </c>
      <c r="U940" s="311">
        <f t="shared" ca="1" si="408"/>
        <v>0</v>
      </c>
      <c r="V940" s="306">
        <f t="shared" ca="1" si="409"/>
        <v>1.2262688080933577</v>
      </c>
      <c r="W940" s="304">
        <f t="shared" ca="1" si="410"/>
        <v>92.736921606311469</v>
      </c>
      <c r="Y940" s="314" t="str">
        <f t="shared" ca="1" si="428"/>
        <v/>
      </c>
      <c r="Z940" s="315" t="str">
        <f t="shared" ca="1" si="429"/>
        <v/>
      </c>
      <c r="AA940" s="316" t="str">
        <f t="shared" ca="1" si="430"/>
        <v/>
      </c>
      <c r="AC940" s="310" t="e">
        <f t="shared" ca="1" si="431"/>
        <v>#N/A</v>
      </c>
      <c r="AD940" s="323" t="e">
        <f t="shared" ca="1" si="432"/>
        <v>#N/A</v>
      </c>
      <c r="AE940" s="324" t="e">
        <f t="shared" ca="1" si="411"/>
        <v>#N/A</v>
      </c>
      <c r="AG940" s="306">
        <f t="shared" ca="1" si="433"/>
        <v>1.0812495352443463</v>
      </c>
      <c r="AH940" s="304">
        <f t="shared" ca="1" si="434"/>
        <v>-8.7174890003827556</v>
      </c>
    </row>
    <row r="941" spans="1:34" x14ac:dyDescent="0.25">
      <c r="A941" s="347">
        <f t="shared" ca="1" si="412"/>
        <v>1E-4</v>
      </c>
      <c r="B941" s="304">
        <f t="shared" ca="1" si="413"/>
        <v>42.905800000000468</v>
      </c>
      <c r="D941" s="306">
        <f t="shared" ca="1" si="414"/>
        <v>-0.41758297953702672</v>
      </c>
      <c r="E941" s="307">
        <f t="shared" ca="1" si="415"/>
        <v>-1.1024924706824084</v>
      </c>
      <c r="F941" s="304">
        <f t="shared" ca="1" si="416"/>
        <v>1.1789254398435984</v>
      </c>
      <c r="G941" s="306">
        <f t="shared" ca="1" si="417"/>
        <v>6.4615505599853185</v>
      </c>
      <c r="H941" s="307">
        <f t="shared" ca="1" si="418"/>
        <v>-134.7382737280663</v>
      </c>
      <c r="I941" s="304">
        <f t="shared" ca="1" si="419"/>
        <v>134.89312081369667</v>
      </c>
      <c r="J941" s="306">
        <f t="shared" ca="1" si="420"/>
        <v>638.40045476391947</v>
      </c>
      <c r="K941" s="307">
        <f t="shared" ca="1" si="421"/>
        <v>-10.365729675384616</v>
      </c>
      <c r="L941" s="304">
        <f t="shared" ca="1" si="406"/>
        <v>638.48460356885846</v>
      </c>
      <c r="M941" s="306">
        <f t="shared" ca="1" si="422"/>
        <v>-1.5228767285699691</v>
      </c>
      <c r="N941" s="304">
        <f t="shared" ca="1" si="423"/>
        <v>-87.254409265749061</v>
      </c>
      <c r="P941" s="310">
        <f t="shared" ca="1" si="424"/>
        <v>23</v>
      </c>
      <c r="Q941" s="304">
        <f t="shared" ca="1" si="425"/>
        <v>0</v>
      </c>
      <c r="R941" s="306">
        <f t="shared" ca="1" si="426"/>
        <v>0</v>
      </c>
      <c r="S941" s="307">
        <f t="shared" ca="1" si="427"/>
        <v>10.637999999999975</v>
      </c>
      <c r="T941" s="304">
        <f t="shared" ca="1" si="407"/>
        <v>104.35877999999975</v>
      </c>
      <c r="U941" s="311">
        <f t="shared" ca="1" si="408"/>
        <v>0</v>
      </c>
      <c r="V941" s="306">
        <f t="shared" ca="1" si="409"/>
        <v>1.2262704603476611</v>
      </c>
      <c r="W941" s="304">
        <f t="shared" ca="1" si="410"/>
        <v>92.73719522382774</v>
      </c>
      <c r="Y941" s="314" t="str">
        <f t="shared" ca="1" si="428"/>
        <v/>
      </c>
      <c r="Z941" s="315" t="str">
        <f t="shared" ca="1" si="429"/>
        <v/>
      </c>
      <c r="AA941" s="316" t="str">
        <f t="shared" ca="1" si="430"/>
        <v/>
      </c>
      <c r="AC941" s="310" t="e">
        <f t="shared" ca="1" si="431"/>
        <v>#N/A</v>
      </c>
      <c r="AD941" s="323" t="e">
        <f t="shared" ca="1" si="432"/>
        <v>#N/A</v>
      </c>
      <c r="AE941" s="324" t="e">
        <f t="shared" ca="1" si="411"/>
        <v>#N/A</v>
      </c>
      <c r="AG941" s="306">
        <f t="shared" ca="1" si="433"/>
        <v>1.0812239779234147</v>
      </c>
      <c r="AH941" s="304">
        <f t="shared" ca="1" si="434"/>
        <v>-8.7175147214054984</v>
      </c>
    </row>
    <row r="942" spans="1:34" x14ac:dyDescent="0.25">
      <c r="A942" s="347">
        <f t="shared" ca="1" si="412"/>
        <v>1E-4</v>
      </c>
      <c r="B942" s="304">
        <f t="shared" ca="1" si="413"/>
        <v>42.905900000000472</v>
      </c>
      <c r="D942" s="306">
        <f t="shared" ca="1" si="414"/>
        <v>-0.41758117823969082</v>
      </c>
      <c r="E942" s="307">
        <f t="shared" ca="1" si="415"/>
        <v>-1.1024666339721687</v>
      </c>
      <c r="F942" s="304">
        <f t="shared" ca="1" si="416"/>
        <v>1.1789006401906703</v>
      </c>
      <c r="G942" s="306">
        <f t="shared" ca="1" si="417"/>
        <v>6.4615088018674944</v>
      </c>
      <c r="H942" s="307">
        <f t="shared" ca="1" si="418"/>
        <v>-134.73838397472971</v>
      </c>
      <c r="I942" s="304">
        <f t="shared" ca="1" si="419"/>
        <v>134.89322893354696</v>
      </c>
      <c r="J942" s="306">
        <f t="shared" ca="1" si="420"/>
        <v>638.40045476391947</v>
      </c>
      <c r="K942" s="307">
        <f t="shared" ca="1" si="421"/>
        <v>-10.379203508269756</v>
      </c>
      <c r="L942" s="304">
        <f t="shared" ca="1" si="406"/>
        <v>638.48482245723369</v>
      </c>
      <c r="M942" s="306">
        <f t="shared" ca="1" si="422"/>
        <v>-1.5228770769279794</v>
      </c>
      <c r="N942" s="304">
        <f t="shared" ca="1" si="423"/>
        <v>-87.254429225192808</v>
      </c>
      <c r="P942" s="310">
        <f t="shared" ca="1" si="424"/>
        <v>23</v>
      </c>
      <c r="Q942" s="304">
        <f t="shared" ca="1" si="425"/>
        <v>0</v>
      </c>
      <c r="R942" s="306">
        <f t="shared" ca="1" si="426"/>
        <v>0</v>
      </c>
      <c r="S942" s="307">
        <f t="shared" ca="1" si="427"/>
        <v>10.637999999999975</v>
      </c>
      <c r="T942" s="304">
        <f t="shared" ca="1" si="407"/>
        <v>104.35877999999975</v>
      </c>
      <c r="U942" s="311">
        <f t="shared" ca="1" si="408"/>
        <v>0</v>
      </c>
      <c r="V942" s="306">
        <f t="shared" ca="1" si="409"/>
        <v>1.226272112605544</v>
      </c>
      <c r="W942" s="304">
        <f t="shared" ca="1" si="410"/>
        <v>92.737468838620529</v>
      </c>
      <c r="Y942" s="314" t="str">
        <f t="shared" ca="1" si="428"/>
        <v/>
      </c>
      <c r="Z942" s="315" t="str">
        <f t="shared" ca="1" si="429"/>
        <v/>
      </c>
      <c r="AA942" s="316" t="str">
        <f t="shared" ca="1" si="430"/>
        <v/>
      </c>
      <c r="AC942" s="310" t="e">
        <f t="shared" ca="1" si="431"/>
        <v>#N/A</v>
      </c>
      <c r="AD942" s="323" t="e">
        <f t="shared" ca="1" si="432"/>
        <v>#N/A</v>
      </c>
      <c r="AE942" s="324" t="e">
        <f t="shared" ca="1" si="411"/>
        <v>#N/A</v>
      </c>
      <c r="AG942" s="306">
        <f t="shared" ca="1" si="433"/>
        <v>1.0811984208560101</v>
      </c>
      <c r="AH942" s="304">
        <f t="shared" ca="1" si="434"/>
        <v>-8.7175404421722096</v>
      </c>
    </row>
    <row r="943" spans="1:34" x14ac:dyDescent="0.25">
      <c r="A943" s="347">
        <f t="shared" ca="1" si="412"/>
        <v>1E-4</v>
      </c>
      <c r="B943" s="304">
        <f t="shared" ca="1" si="413"/>
        <v>42.906000000000475</v>
      </c>
      <c r="D943" s="306">
        <f t="shared" ca="1" si="414"/>
        <v>-0.41757937693660924</v>
      </c>
      <c r="E943" s="307">
        <f t="shared" ca="1" si="415"/>
        <v>-1.1024407975190211</v>
      </c>
      <c r="F943" s="304">
        <f t="shared" ca="1" si="416"/>
        <v>1.178875840823427</v>
      </c>
      <c r="G943" s="306">
        <f t="shared" ca="1" si="417"/>
        <v>6.461467043929801</v>
      </c>
      <c r="H943" s="307">
        <f t="shared" ca="1" si="418"/>
        <v>-134.73849421880948</v>
      </c>
      <c r="I943" s="304">
        <f t="shared" ca="1" si="419"/>
        <v>134.89333705084155</v>
      </c>
      <c r="J943" s="306">
        <f t="shared" ca="1" si="420"/>
        <v>638.40045476391947</v>
      </c>
      <c r="K943" s="307">
        <f t="shared" ca="1" si="421"/>
        <v>-10.392677352179433</v>
      </c>
      <c r="L943" s="304">
        <f t="shared" ca="1" si="406"/>
        <v>638.48504163004918</v>
      </c>
      <c r="M943" s="306">
        <f t="shared" ca="1" si="422"/>
        <v>-1.52287742528318</v>
      </c>
      <c r="N943" s="304">
        <f t="shared" ca="1" si="423"/>
        <v>-87.25444918447559</v>
      </c>
      <c r="P943" s="310">
        <f t="shared" ca="1" si="424"/>
        <v>23</v>
      </c>
      <c r="Q943" s="304">
        <f t="shared" ca="1" si="425"/>
        <v>0</v>
      </c>
      <c r="R943" s="306">
        <f t="shared" ca="1" si="426"/>
        <v>0</v>
      </c>
      <c r="S943" s="307">
        <f t="shared" ca="1" si="427"/>
        <v>10.637999999999975</v>
      </c>
      <c r="T943" s="304">
        <f t="shared" ca="1" si="407"/>
        <v>104.35877999999975</v>
      </c>
      <c r="U943" s="311">
        <f t="shared" ca="1" si="408"/>
        <v>0</v>
      </c>
      <c r="V943" s="306">
        <f t="shared" ca="1" si="409"/>
        <v>1.2262737648670061</v>
      </c>
      <c r="W943" s="304">
        <f t="shared" ca="1" si="410"/>
        <v>92.737742450689737</v>
      </c>
      <c r="Y943" s="314" t="str">
        <f t="shared" ca="1" si="428"/>
        <v/>
      </c>
      <c r="Z943" s="315" t="str">
        <f t="shared" ca="1" si="429"/>
        <v/>
      </c>
      <c r="AA943" s="316" t="str">
        <f t="shared" ca="1" si="430"/>
        <v/>
      </c>
      <c r="AC943" s="310" t="e">
        <f t="shared" ca="1" si="431"/>
        <v>#N/A</v>
      </c>
      <c r="AD943" s="323" t="e">
        <f t="shared" ca="1" si="432"/>
        <v>#N/A</v>
      </c>
      <c r="AE943" s="324" t="e">
        <f t="shared" ca="1" si="411"/>
        <v>#N/A</v>
      </c>
      <c r="AG943" s="306">
        <f t="shared" ca="1" si="433"/>
        <v>1.0811728640421094</v>
      </c>
      <c r="AH943" s="304">
        <f t="shared" ca="1" si="434"/>
        <v>-8.7175661626829051</v>
      </c>
    </row>
    <row r="944" spans="1:34" x14ac:dyDescent="0.25">
      <c r="A944" s="347">
        <f t="shared" ca="1" si="412"/>
        <v>1E-4</v>
      </c>
      <c r="B944" s="304">
        <f t="shared" ca="1" si="413"/>
        <v>42.906100000000478</v>
      </c>
      <c r="D944" s="306">
        <f t="shared" ca="1" si="414"/>
        <v>-0.4175775756277782</v>
      </c>
      <c r="E944" s="307">
        <f t="shared" ca="1" si="415"/>
        <v>-1.1024149613229763</v>
      </c>
      <c r="F944" s="304">
        <f t="shared" ca="1" si="416"/>
        <v>1.1788510417418785</v>
      </c>
      <c r="G944" s="306">
        <f t="shared" ca="1" si="417"/>
        <v>6.4614252861722381</v>
      </c>
      <c r="H944" s="307">
        <f t="shared" ca="1" si="418"/>
        <v>-134.73860446030562</v>
      </c>
      <c r="I944" s="304">
        <f t="shared" ca="1" si="419"/>
        <v>134.89344516558052</v>
      </c>
      <c r="J944" s="306">
        <f t="shared" ca="1" si="420"/>
        <v>638.40045476391947</v>
      </c>
      <c r="K944" s="307">
        <f t="shared" ca="1" si="421"/>
        <v>-10.406151207113389</v>
      </c>
      <c r="L944" s="304">
        <f t="shared" ca="1" si="406"/>
        <v>638.48526108730539</v>
      </c>
      <c r="M944" s="306">
        <f t="shared" ca="1" si="422"/>
        <v>-1.5228777736355712</v>
      </c>
      <c r="N944" s="304">
        <f t="shared" ca="1" si="423"/>
        <v>-87.254469143597376</v>
      </c>
      <c r="P944" s="310">
        <f t="shared" ca="1" si="424"/>
        <v>23</v>
      </c>
      <c r="Q944" s="304">
        <f t="shared" ca="1" si="425"/>
        <v>0</v>
      </c>
      <c r="R944" s="306">
        <f t="shared" ca="1" si="426"/>
        <v>0</v>
      </c>
      <c r="S944" s="307">
        <f t="shared" ca="1" si="427"/>
        <v>10.637999999999975</v>
      </c>
      <c r="T944" s="304">
        <f t="shared" ca="1" si="407"/>
        <v>104.35877999999975</v>
      </c>
      <c r="U944" s="311">
        <f t="shared" ca="1" si="408"/>
        <v>0</v>
      </c>
      <c r="V944" s="306">
        <f t="shared" ca="1" si="409"/>
        <v>1.2262754171320478</v>
      </c>
      <c r="W944" s="304">
        <f t="shared" ca="1" si="410"/>
        <v>92.738016060035449</v>
      </c>
      <c r="Y944" s="314" t="str">
        <f t="shared" ca="1" si="428"/>
        <v/>
      </c>
      <c r="Z944" s="315" t="str">
        <f t="shared" ca="1" si="429"/>
        <v/>
      </c>
      <c r="AA944" s="316" t="str">
        <f t="shared" ca="1" si="430"/>
        <v/>
      </c>
      <c r="AC944" s="310" t="e">
        <f t="shared" ca="1" si="431"/>
        <v>#N/A</v>
      </c>
      <c r="AD944" s="323" t="e">
        <f t="shared" ca="1" si="432"/>
        <v>#N/A</v>
      </c>
      <c r="AE944" s="324" t="e">
        <f t="shared" ca="1" si="411"/>
        <v>#N/A</v>
      </c>
      <c r="AG944" s="306">
        <f t="shared" ca="1" si="433"/>
        <v>1.0811473074817215</v>
      </c>
      <c r="AH944" s="304">
        <f t="shared" ca="1" si="434"/>
        <v>-8.7175918829375778</v>
      </c>
    </row>
    <row r="945" spans="1:34" x14ac:dyDescent="0.25">
      <c r="A945" s="347">
        <f t="shared" ca="1" si="412"/>
        <v>1E-4</v>
      </c>
      <c r="B945" s="304">
        <f t="shared" ca="1" si="413"/>
        <v>42.906200000000482</v>
      </c>
      <c r="D945" s="306">
        <f t="shared" ca="1" si="414"/>
        <v>-0.4175757743131987</v>
      </c>
      <c r="E945" s="307">
        <f t="shared" ca="1" si="415"/>
        <v>-1.1023891253840219</v>
      </c>
      <c r="F945" s="304">
        <f t="shared" ca="1" si="416"/>
        <v>1.1788262429460146</v>
      </c>
      <c r="G945" s="306">
        <f t="shared" ca="1" si="417"/>
        <v>6.4613835285948067</v>
      </c>
      <c r="H945" s="307">
        <f t="shared" ca="1" si="418"/>
        <v>-134.73871469921815</v>
      </c>
      <c r="I945" s="304">
        <f t="shared" ca="1" si="419"/>
        <v>134.8935532777638</v>
      </c>
      <c r="J945" s="306">
        <f t="shared" ca="1" si="420"/>
        <v>638.40045476391947</v>
      </c>
      <c r="K945" s="307">
        <f t="shared" ca="1" si="421"/>
        <v>-10.419625073071366</v>
      </c>
      <c r="L945" s="304">
        <f t="shared" ca="1" si="406"/>
        <v>638.48548082900254</v>
      </c>
      <c r="M945" s="306">
        <f t="shared" ca="1" si="422"/>
        <v>-1.5228781219851524</v>
      </c>
      <c r="N945" s="304">
        <f t="shared" ca="1" si="423"/>
        <v>-87.254489102558182</v>
      </c>
      <c r="P945" s="310">
        <f t="shared" ca="1" si="424"/>
        <v>23</v>
      </c>
      <c r="Q945" s="304">
        <f t="shared" ca="1" si="425"/>
        <v>0</v>
      </c>
      <c r="R945" s="306">
        <f t="shared" ca="1" si="426"/>
        <v>0</v>
      </c>
      <c r="S945" s="307">
        <f t="shared" ca="1" si="427"/>
        <v>10.637999999999975</v>
      </c>
      <c r="T945" s="304">
        <f t="shared" ca="1" si="407"/>
        <v>104.35877999999975</v>
      </c>
      <c r="U945" s="311">
        <f t="shared" ca="1" si="408"/>
        <v>0</v>
      </c>
      <c r="V945" s="306">
        <f t="shared" ca="1" si="409"/>
        <v>1.2262770694006688</v>
      </c>
      <c r="W945" s="304">
        <f t="shared" ca="1" si="410"/>
        <v>92.738289666657579</v>
      </c>
      <c r="Y945" s="314" t="str">
        <f t="shared" ca="1" si="428"/>
        <v/>
      </c>
      <c r="Z945" s="315" t="str">
        <f t="shared" ca="1" si="429"/>
        <v/>
      </c>
      <c r="AA945" s="316" t="str">
        <f t="shared" ca="1" si="430"/>
        <v/>
      </c>
      <c r="AC945" s="310" t="e">
        <f t="shared" ca="1" si="431"/>
        <v>#N/A</v>
      </c>
      <c r="AD945" s="323" t="e">
        <f t="shared" ca="1" si="432"/>
        <v>#N/A</v>
      </c>
      <c r="AE945" s="324" t="e">
        <f t="shared" ca="1" si="411"/>
        <v>#N/A</v>
      </c>
      <c r="AG945" s="306">
        <f t="shared" ca="1" si="433"/>
        <v>1.081121751174841</v>
      </c>
      <c r="AH945" s="304">
        <f t="shared" ca="1" si="434"/>
        <v>-8.7176176029362349</v>
      </c>
    </row>
    <row r="946" spans="1:34" x14ac:dyDescent="0.25">
      <c r="A946" s="347">
        <f t="shared" ca="1" si="412"/>
        <v>1E-4</v>
      </c>
      <c r="B946" s="304">
        <f t="shared" ca="1" si="413"/>
        <v>42.906300000000485</v>
      </c>
      <c r="D946" s="306">
        <f t="shared" ca="1" si="414"/>
        <v>-0.41757397299287446</v>
      </c>
      <c r="E946" s="307">
        <f t="shared" ca="1" si="415"/>
        <v>-1.102363289702172</v>
      </c>
      <c r="F946" s="304">
        <f t="shared" ca="1" si="416"/>
        <v>1.178801444435851</v>
      </c>
      <c r="G946" s="306">
        <f t="shared" ca="1" si="417"/>
        <v>6.4613417711975076</v>
      </c>
      <c r="H946" s="307">
        <f t="shared" ca="1" si="418"/>
        <v>-134.73882493554711</v>
      </c>
      <c r="I946" s="304">
        <f t="shared" ca="1" si="419"/>
        <v>134.89366138739149</v>
      </c>
      <c r="J946" s="306">
        <f t="shared" ca="1" si="420"/>
        <v>638.40045476391947</v>
      </c>
      <c r="K946" s="307">
        <f t="shared" ca="1" si="421"/>
        <v>-10.433098950053104</v>
      </c>
      <c r="L946" s="304">
        <f t="shared" ca="1" si="406"/>
        <v>638.48570085514109</v>
      </c>
      <c r="M946" s="306">
        <f t="shared" ca="1" si="422"/>
        <v>-1.5228784703319242</v>
      </c>
      <c r="N946" s="304">
        <f t="shared" ca="1" si="423"/>
        <v>-87.254509061358007</v>
      </c>
      <c r="P946" s="310">
        <f t="shared" ca="1" si="424"/>
        <v>23</v>
      </c>
      <c r="Q946" s="304">
        <f t="shared" ca="1" si="425"/>
        <v>0</v>
      </c>
      <c r="R946" s="306">
        <f t="shared" ca="1" si="426"/>
        <v>0</v>
      </c>
      <c r="S946" s="307">
        <f t="shared" ca="1" si="427"/>
        <v>10.637999999999975</v>
      </c>
      <c r="T946" s="304">
        <f t="shared" ca="1" si="407"/>
        <v>104.35877999999975</v>
      </c>
      <c r="U946" s="311">
        <f t="shared" ca="1" si="408"/>
        <v>0</v>
      </c>
      <c r="V946" s="306">
        <f t="shared" ca="1" si="409"/>
        <v>1.2262787216728686</v>
      </c>
      <c r="W946" s="304">
        <f t="shared" ca="1" si="410"/>
        <v>92.73856327055617</v>
      </c>
      <c r="Y946" s="314" t="str">
        <f t="shared" ca="1" si="428"/>
        <v/>
      </c>
      <c r="Z946" s="315" t="str">
        <f t="shared" ca="1" si="429"/>
        <v/>
      </c>
      <c r="AA946" s="316" t="str">
        <f t="shared" ca="1" si="430"/>
        <v/>
      </c>
      <c r="AC946" s="310" t="e">
        <f t="shared" ca="1" si="431"/>
        <v>#N/A</v>
      </c>
      <c r="AD946" s="323" t="e">
        <f t="shared" ca="1" si="432"/>
        <v>#N/A</v>
      </c>
      <c r="AE946" s="324" t="e">
        <f t="shared" ca="1" si="411"/>
        <v>#N/A</v>
      </c>
      <c r="AG946" s="306">
        <f t="shared" ca="1" si="433"/>
        <v>1.081096195121475</v>
      </c>
      <c r="AH946" s="304">
        <f t="shared" ca="1" si="434"/>
        <v>-8.7176433226788674</v>
      </c>
    </row>
    <row r="947" spans="1:34" x14ac:dyDescent="0.25">
      <c r="A947" s="347">
        <f t="shared" ca="1" si="412"/>
        <v>1E-4</v>
      </c>
      <c r="B947" s="304">
        <f t="shared" ca="1" si="413"/>
        <v>42.906400000000488</v>
      </c>
      <c r="D947" s="306">
        <f t="shared" ca="1" si="414"/>
        <v>-0.4175721716668005</v>
      </c>
      <c r="E947" s="307">
        <f t="shared" ca="1" si="415"/>
        <v>-1.1023374542774178</v>
      </c>
      <c r="F947" s="304">
        <f t="shared" ca="1" si="416"/>
        <v>1.1787766462113787</v>
      </c>
      <c r="G947" s="306">
        <f t="shared" ca="1" si="417"/>
        <v>6.4613000139803409</v>
      </c>
      <c r="H947" s="307">
        <f t="shared" ca="1" si="418"/>
        <v>-134.73893516929255</v>
      </c>
      <c r="I947" s="304">
        <f t="shared" ca="1" si="419"/>
        <v>134.89376949446361</v>
      </c>
      <c r="J947" s="306">
        <f t="shared" ca="1" si="420"/>
        <v>638.40045476391947</v>
      </c>
      <c r="K947" s="307">
        <f t="shared" ca="1" si="421"/>
        <v>-10.446572838058346</v>
      </c>
      <c r="L947" s="304">
        <f t="shared" ca="1" si="406"/>
        <v>638.48592116572161</v>
      </c>
      <c r="M947" s="306">
        <f t="shared" ca="1" si="422"/>
        <v>-1.5228788186758864</v>
      </c>
      <c r="N947" s="304">
        <f t="shared" ca="1" si="423"/>
        <v>-87.254529019996866</v>
      </c>
      <c r="P947" s="310">
        <f t="shared" ca="1" si="424"/>
        <v>23</v>
      </c>
      <c r="Q947" s="304">
        <f t="shared" ca="1" si="425"/>
        <v>0</v>
      </c>
      <c r="R947" s="306">
        <f t="shared" ca="1" si="426"/>
        <v>0</v>
      </c>
      <c r="S947" s="307">
        <f t="shared" ca="1" si="427"/>
        <v>10.637999999999975</v>
      </c>
      <c r="T947" s="304">
        <f t="shared" ca="1" si="407"/>
        <v>104.35877999999975</v>
      </c>
      <c r="U947" s="311">
        <f t="shared" ca="1" si="408"/>
        <v>0</v>
      </c>
      <c r="V947" s="306">
        <f t="shared" ca="1" si="409"/>
        <v>1.2262803739486483</v>
      </c>
      <c r="W947" s="304">
        <f t="shared" ca="1" si="410"/>
        <v>92.738836871731323</v>
      </c>
      <c r="Y947" s="314" t="str">
        <f t="shared" ca="1" si="428"/>
        <v/>
      </c>
      <c r="Z947" s="315" t="str">
        <f t="shared" ca="1" si="429"/>
        <v/>
      </c>
      <c r="AA947" s="316" t="str">
        <f t="shared" ca="1" si="430"/>
        <v/>
      </c>
      <c r="AC947" s="310" t="e">
        <f t="shared" ca="1" si="431"/>
        <v>#N/A</v>
      </c>
      <c r="AD947" s="323" t="e">
        <f t="shared" ca="1" si="432"/>
        <v>#N/A</v>
      </c>
      <c r="AE947" s="324" t="e">
        <f t="shared" ca="1" si="411"/>
        <v>#N/A</v>
      </c>
      <c r="AG947" s="306">
        <f t="shared" ca="1" si="433"/>
        <v>1.0810706393216183</v>
      </c>
      <c r="AH947" s="304">
        <f t="shared" ca="1" si="434"/>
        <v>-8.7176690421654808</v>
      </c>
    </row>
    <row r="948" spans="1:34" x14ac:dyDescent="0.25">
      <c r="A948" s="347">
        <f t="shared" ca="1" si="412"/>
        <v>1E-4</v>
      </c>
      <c r="B948" s="304">
        <f t="shared" ca="1" si="413"/>
        <v>42.906500000000491</v>
      </c>
      <c r="D948" s="306">
        <f t="shared" ca="1" si="414"/>
        <v>-0.41757037033498162</v>
      </c>
      <c r="E948" s="307">
        <f t="shared" ca="1" si="415"/>
        <v>-1.1023116191097522</v>
      </c>
      <c r="F948" s="304">
        <f t="shared" ca="1" si="416"/>
        <v>1.1787518482725943</v>
      </c>
      <c r="G948" s="306">
        <f t="shared" ca="1" si="417"/>
        <v>6.4612582569433075</v>
      </c>
      <c r="H948" s="307">
        <f t="shared" ca="1" si="418"/>
        <v>-134.73904540045444</v>
      </c>
      <c r="I948" s="304">
        <f t="shared" ca="1" si="419"/>
        <v>134.89387759898017</v>
      </c>
      <c r="J948" s="306">
        <f t="shared" ca="1" si="420"/>
        <v>638.40045476391947</v>
      </c>
      <c r="K948" s="307">
        <f t="shared" ca="1" si="421"/>
        <v>-10.460046737086833</v>
      </c>
      <c r="L948" s="304">
        <f t="shared" ca="1" si="406"/>
        <v>638.4861417607442</v>
      </c>
      <c r="M948" s="306">
        <f t="shared" ca="1" si="422"/>
        <v>-1.522879167017039</v>
      </c>
      <c r="N948" s="304">
        <f t="shared" ca="1" si="423"/>
        <v>-87.25454897847473</v>
      </c>
      <c r="P948" s="310">
        <f t="shared" ca="1" si="424"/>
        <v>23</v>
      </c>
      <c r="Q948" s="304">
        <f t="shared" ca="1" si="425"/>
        <v>0</v>
      </c>
      <c r="R948" s="306">
        <f t="shared" ca="1" si="426"/>
        <v>0</v>
      </c>
      <c r="S948" s="307">
        <f t="shared" ca="1" si="427"/>
        <v>10.637999999999975</v>
      </c>
      <c r="T948" s="304">
        <f t="shared" ca="1" si="407"/>
        <v>104.35877999999975</v>
      </c>
      <c r="U948" s="311">
        <f t="shared" ca="1" si="408"/>
        <v>0</v>
      </c>
      <c r="V948" s="306">
        <f t="shared" ca="1" si="409"/>
        <v>1.2262820262280065</v>
      </c>
      <c r="W948" s="304">
        <f t="shared" ca="1" si="410"/>
        <v>92.739110470182908</v>
      </c>
      <c r="Y948" s="314" t="str">
        <f t="shared" ca="1" si="428"/>
        <v/>
      </c>
      <c r="Z948" s="315" t="str">
        <f t="shared" ca="1" si="429"/>
        <v/>
      </c>
      <c r="AA948" s="316" t="str">
        <f t="shared" ca="1" si="430"/>
        <v/>
      </c>
      <c r="AC948" s="310" t="e">
        <f t="shared" ca="1" si="431"/>
        <v>#N/A</v>
      </c>
      <c r="AD948" s="323" t="e">
        <f t="shared" ca="1" si="432"/>
        <v>#N/A</v>
      </c>
      <c r="AE948" s="324" t="e">
        <f t="shared" ca="1" si="411"/>
        <v>#N/A</v>
      </c>
      <c r="AG948" s="306">
        <f t="shared" ca="1" si="433"/>
        <v>1.0810450837752636</v>
      </c>
      <c r="AH948" s="304">
        <f t="shared" ca="1" si="434"/>
        <v>-8.7176947613960838</v>
      </c>
    </row>
    <row r="949" spans="1:34" x14ac:dyDescent="0.25">
      <c r="A949" s="347">
        <f t="shared" ca="1" si="412"/>
        <v>1E-4</v>
      </c>
      <c r="B949" s="304">
        <f t="shared" ca="1" si="413"/>
        <v>42.906600000000495</v>
      </c>
      <c r="D949" s="306">
        <f t="shared" ca="1" si="414"/>
        <v>-0.41756856899741573</v>
      </c>
      <c r="E949" s="307">
        <f t="shared" ca="1" si="415"/>
        <v>-1.1022857841991875</v>
      </c>
      <c r="F949" s="304">
        <f t="shared" ca="1" si="416"/>
        <v>1.1787270506195093</v>
      </c>
      <c r="G949" s="306">
        <f t="shared" ca="1" si="417"/>
        <v>6.4612165000864081</v>
      </c>
      <c r="H949" s="307">
        <f t="shared" ca="1" si="418"/>
        <v>-134.73915562903287</v>
      </c>
      <c r="I949" s="304">
        <f t="shared" ca="1" si="419"/>
        <v>134.89398570094122</v>
      </c>
      <c r="J949" s="306">
        <f t="shared" ca="1" si="420"/>
        <v>638.40045476391947</v>
      </c>
      <c r="K949" s="307">
        <f t="shared" ca="1" si="421"/>
        <v>-10.473520647138306</v>
      </c>
      <c r="L949" s="304">
        <f t="shared" ca="1" si="406"/>
        <v>638.48636264020956</v>
      </c>
      <c r="M949" s="306">
        <f t="shared" ca="1" si="422"/>
        <v>-1.522879515355382</v>
      </c>
      <c r="N949" s="304">
        <f t="shared" ca="1" si="423"/>
        <v>-87.254568936791628</v>
      </c>
      <c r="P949" s="310">
        <f t="shared" ca="1" si="424"/>
        <v>23</v>
      </c>
      <c r="Q949" s="304">
        <f t="shared" ca="1" si="425"/>
        <v>0</v>
      </c>
      <c r="R949" s="306">
        <f t="shared" ca="1" si="426"/>
        <v>0</v>
      </c>
      <c r="S949" s="307">
        <f t="shared" ca="1" si="427"/>
        <v>10.637999999999975</v>
      </c>
      <c r="T949" s="304">
        <f t="shared" ca="1" si="407"/>
        <v>104.35877999999975</v>
      </c>
      <c r="U949" s="311">
        <f t="shared" ca="1" si="408"/>
        <v>0</v>
      </c>
      <c r="V949" s="306">
        <f t="shared" ca="1" si="409"/>
        <v>1.2262836785109439</v>
      </c>
      <c r="W949" s="304">
        <f t="shared" ca="1" si="410"/>
        <v>92.73938406591104</v>
      </c>
      <c r="Y949" s="314" t="str">
        <f t="shared" ca="1" si="428"/>
        <v/>
      </c>
      <c r="Z949" s="315" t="str">
        <f t="shared" ca="1" si="429"/>
        <v/>
      </c>
      <c r="AA949" s="316" t="str">
        <f t="shared" ca="1" si="430"/>
        <v/>
      </c>
      <c r="AC949" s="310" t="e">
        <f t="shared" ca="1" si="431"/>
        <v>#N/A</v>
      </c>
      <c r="AD949" s="323" t="e">
        <f t="shared" ca="1" si="432"/>
        <v>#N/A</v>
      </c>
      <c r="AE949" s="324" t="e">
        <f t="shared" ca="1" si="411"/>
        <v>#N/A</v>
      </c>
      <c r="AG949" s="306">
        <f t="shared" ca="1" si="433"/>
        <v>1.0810195284824218</v>
      </c>
      <c r="AH949" s="304">
        <f t="shared" ca="1" si="434"/>
        <v>-8.717720480370664</v>
      </c>
    </row>
    <row r="950" spans="1:34" x14ac:dyDescent="0.25">
      <c r="A950" s="347">
        <f t="shared" ca="1" si="412"/>
        <v>1E-4</v>
      </c>
      <c r="B950" s="304">
        <f t="shared" ca="1" si="413"/>
        <v>42.906700000000498</v>
      </c>
      <c r="D950" s="306">
        <f t="shared" ca="1" si="414"/>
        <v>-0.41756676765410389</v>
      </c>
      <c r="E950" s="307">
        <f t="shared" ca="1" si="415"/>
        <v>-1.1022599495457115</v>
      </c>
      <c r="F950" s="304">
        <f t="shared" ca="1" si="416"/>
        <v>1.1787022532521141</v>
      </c>
      <c r="G950" s="306">
        <f t="shared" ca="1" si="417"/>
        <v>6.4611747434096429</v>
      </c>
      <c r="H950" s="307">
        <f t="shared" ca="1" si="418"/>
        <v>-134.73926585502781</v>
      </c>
      <c r="I950" s="304">
        <f t="shared" ca="1" si="419"/>
        <v>134.8940938003467</v>
      </c>
      <c r="J950" s="306">
        <f t="shared" ca="1" si="420"/>
        <v>638.40045476391947</v>
      </c>
      <c r="K950" s="307">
        <f t="shared" ca="1" si="421"/>
        <v>-10.486994568212509</v>
      </c>
      <c r="L950" s="304">
        <f t="shared" ca="1" si="406"/>
        <v>638.48658380411791</v>
      </c>
      <c r="M950" s="306">
        <f t="shared" ca="1" si="422"/>
        <v>-1.5228798636909155</v>
      </c>
      <c r="N950" s="304">
        <f t="shared" ca="1" si="423"/>
        <v>-87.25458889494756</v>
      </c>
      <c r="P950" s="310">
        <f t="shared" ca="1" si="424"/>
        <v>23</v>
      </c>
      <c r="Q950" s="304">
        <f t="shared" ca="1" si="425"/>
        <v>0</v>
      </c>
      <c r="R950" s="306">
        <f t="shared" ca="1" si="426"/>
        <v>0</v>
      </c>
      <c r="S950" s="307">
        <f t="shared" ca="1" si="427"/>
        <v>10.637999999999975</v>
      </c>
      <c r="T950" s="304">
        <f t="shared" ca="1" si="407"/>
        <v>104.35877999999975</v>
      </c>
      <c r="U950" s="311">
        <f t="shared" ca="1" si="408"/>
        <v>0</v>
      </c>
      <c r="V950" s="306">
        <f t="shared" ca="1" si="409"/>
        <v>1.2262853307974606</v>
      </c>
      <c r="W950" s="304">
        <f t="shared" ca="1" si="410"/>
        <v>92.739657658915647</v>
      </c>
      <c r="Y950" s="314" t="str">
        <f t="shared" ca="1" si="428"/>
        <v/>
      </c>
      <c r="Z950" s="315" t="str">
        <f t="shared" ca="1" si="429"/>
        <v/>
      </c>
      <c r="AA950" s="316" t="str">
        <f t="shared" ca="1" si="430"/>
        <v/>
      </c>
      <c r="AC950" s="310" t="e">
        <f t="shared" ca="1" si="431"/>
        <v>#N/A</v>
      </c>
      <c r="AD950" s="323" t="e">
        <f t="shared" ca="1" si="432"/>
        <v>#N/A</v>
      </c>
      <c r="AE950" s="324" t="e">
        <f t="shared" ca="1" si="411"/>
        <v>#N/A</v>
      </c>
      <c r="AG950" s="306">
        <f t="shared" ca="1" si="433"/>
        <v>1.0809939734430856</v>
      </c>
      <c r="AH950" s="304">
        <f t="shared" ca="1" si="434"/>
        <v>-8.7177461990892322</v>
      </c>
    </row>
    <row r="951" spans="1:34" x14ac:dyDescent="0.25">
      <c r="A951" s="347">
        <f t="shared" ca="1" si="412"/>
        <v>1E-4</v>
      </c>
      <c r="B951" s="304">
        <f t="shared" ca="1" si="413"/>
        <v>42.906800000000501</v>
      </c>
      <c r="D951" s="306">
        <f t="shared" ca="1" si="414"/>
        <v>-0.4175649663050463</v>
      </c>
      <c r="E951" s="307">
        <f t="shared" ca="1" si="415"/>
        <v>-1.1022341151493311</v>
      </c>
      <c r="F951" s="304">
        <f t="shared" ca="1" si="416"/>
        <v>1.1786774561704161</v>
      </c>
      <c r="G951" s="306">
        <f t="shared" ca="1" si="417"/>
        <v>6.4611329869130127</v>
      </c>
      <c r="H951" s="307">
        <f t="shared" ca="1" si="418"/>
        <v>-134.73937607843934</v>
      </c>
      <c r="I951" s="304">
        <f t="shared" ca="1" si="419"/>
        <v>134.89420189719678</v>
      </c>
      <c r="J951" s="306">
        <f t="shared" ca="1" si="420"/>
        <v>638.40045476391947</v>
      </c>
      <c r="K951" s="307">
        <f t="shared" ca="1" si="421"/>
        <v>-10.500468500309182</v>
      </c>
      <c r="L951" s="304">
        <f t="shared" ca="1" si="406"/>
        <v>638.48680525246971</v>
      </c>
      <c r="M951" s="306">
        <f t="shared" ca="1" si="422"/>
        <v>-1.5228802120236398</v>
      </c>
      <c r="N951" s="304">
        <f t="shared" ca="1" si="423"/>
        <v>-87.254608852942525</v>
      </c>
      <c r="P951" s="310">
        <f t="shared" ca="1" si="424"/>
        <v>23</v>
      </c>
      <c r="Q951" s="304">
        <f t="shared" ca="1" si="425"/>
        <v>0</v>
      </c>
      <c r="R951" s="306">
        <f t="shared" ca="1" si="426"/>
        <v>0</v>
      </c>
      <c r="S951" s="307">
        <f t="shared" ca="1" si="427"/>
        <v>10.637999999999975</v>
      </c>
      <c r="T951" s="304">
        <f t="shared" ca="1" si="407"/>
        <v>104.35877999999975</v>
      </c>
      <c r="U951" s="311">
        <f t="shared" ca="1" si="408"/>
        <v>0</v>
      </c>
      <c r="V951" s="306">
        <f t="shared" ca="1" si="409"/>
        <v>1.2262869830875562</v>
      </c>
      <c r="W951" s="304">
        <f t="shared" ca="1" si="410"/>
        <v>92.739931249196886</v>
      </c>
      <c r="Y951" s="314" t="str">
        <f t="shared" ca="1" si="428"/>
        <v/>
      </c>
      <c r="Z951" s="315" t="str">
        <f t="shared" ca="1" si="429"/>
        <v/>
      </c>
      <c r="AA951" s="316" t="str">
        <f t="shared" ca="1" si="430"/>
        <v/>
      </c>
      <c r="AC951" s="310" t="e">
        <f t="shared" ca="1" si="431"/>
        <v>#N/A</v>
      </c>
      <c r="AD951" s="323" t="e">
        <f t="shared" ca="1" si="432"/>
        <v>#N/A</v>
      </c>
      <c r="AE951" s="324" t="e">
        <f t="shared" ca="1" si="411"/>
        <v>#N/A</v>
      </c>
      <c r="AG951" s="306">
        <f t="shared" ca="1" si="433"/>
        <v>1.080968418657255</v>
      </c>
      <c r="AH951" s="304">
        <f t="shared" ca="1" si="434"/>
        <v>-8.7177719175517829</v>
      </c>
    </row>
    <row r="952" spans="1:34" x14ac:dyDescent="0.25">
      <c r="A952" s="347">
        <f t="shared" ca="1" si="412"/>
        <v>1E-4</v>
      </c>
      <c r="B952" s="304">
        <f t="shared" ca="1" si="413"/>
        <v>42.906900000000505</v>
      </c>
      <c r="D952" s="306">
        <f t="shared" ca="1" si="414"/>
        <v>-0.41756316495024209</v>
      </c>
      <c r="E952" s="307">
        <f t="shared" ca="1" si="415"/>
        <v>-1.102208281010034</v>
      </c>
      <c r="F952" s="304">
        <f t="shared" ca="1" si="416"/>
        <v>1.1786526593744049</v>
      </c>
      <c r="G952" s="306">
        <f t="shared" ca="1" si="417"/>
        <v>6.4610912305965176</v>
      </c>
      <c r="H952" s="307">
        <f t="shared" ca="1" si="418"/>
        <v>-134.73948629926744</v>
      </c>
      <c r="I952" s="304">
        <f t="shared" ca="1" si="419"/>
        <v>134.89430999149138</v>
      </c>
      <c r="J952" s="306">
        <f t="shared" ca="1" si="420"/>
        <v>638.40045476391947</v>
      </c>
      <c r="K952" s="307">
        <f t="shared" ca="1" si="421"/>
        <v>-10.513942443428068</v>
      </c>
      <c r="L952" s="304">
        <f t="shared" ca="1" si="406"/>
        <v>638.48702698526529</v>
      </c>
      <c r="M952" s="306">
        <f t="shared" ca="1" si="422"/>
        <v>-1.5228805603535545</v>
      </c>
      <c r="N952" s="304">
        <f t="shared" ca="1" si="423"/>
        <v>-87.254628810776509</v>
      </c>
      <c r="P952" s="310">
        <f t="shared" ca="1" si="424"/>
        <v>23</v>
      </c>
      <c r="Q952" s="304">
        <f t="shared" ca="1" si="425"/>
        <v>0</v>
      </c>
      <c r="R952" s="306">
        <f t="shared" ca="1" si="426"/>
        <v>0</v>
      </c>
      <c r="S952" s="307">
        <f t="shared" ca="1" si="427"/>
        <v>10.637999999999975</v>
      </c>
      <c r="T952" s="304">
        <f t="shared" ca="1" si="407"/>
        <v>104.35877999999975</v>
      </c>
      <c r="U952" s="311">
        <f t="shared" ca="1" si="408"/>
        <v>0</v>
      </c>
      <c r="V952" s="306">
        <f t="shared" ca="1" si="409"/>
        <v>1.2262886353812315</v>
      </c>
      <c r="W952" s="304">
        <f t="shared" ca="1" si="410"/>
        <v>92.740204836754657</v>
      </c>
      <c r="Y952" s="314" t="str">
        <f t="shared" ca="1" si="428"/>
        <v/>
      </c>
      <c r="Z952" s="315" t="str">
        <f t="shared" ca="1" si="429"/>
        <v/>
      </c>
      <c r="AA952" s="316" t="str">
        <f t="shared" ca="1" si="430"/>
        <v/>
      </c>
      <c r="AC952" s="310" t="e">
        <f t="shared" ca="1" si="431"/>
        <v>#N/A</v>
      </c>
      <c r="AD952" s="323" t="e">
        <f t="shared" ca="1" si="432"/>
        <v>#N/A</v>
      </c>
      <c r="AE952" s="324" t="e">
        <f t="shared" ca="1" si="411"/>
        <v>#N/A</v>
      </c>
      <c r="AG952" s="306">
        <f t="shared" ca="1" si="433"/>
        <v>1.0809428641249212</v>
      </c>
      <c r="AH952" s="304">
        <f t="shared" ca="1" si="434"/>
        <v>-8.7177976357583287</v>
      </c>
    </row>
    <row r="953" spans="1:34" x14ac:dyDescent="0.25">
      <c r="A953" s="347">
        <f t="shared" ca="1" si="412"/>
        <v>1E-4</v>
      </c>
      <c r="B953" s="304">
        <f t="shared" ca="1" si="413"/>
        <v>42.907000000000508</v>
      </c>
      <c r="D953" s="306">
        <f t="shared" ca="1" si="414"/>
        <v>-0.41756136358969337</v>
      </c>
      <c r="E953" s="307">
        <f t="shared" ca="1" si="415"/>
        <v>-1.1021824471278254</v>
      </c>
      <c r="F953" s="304">
        <f t="shared" ca="1" si="416"/>
        <v>1.1786278628640874</v>
      </c>
      <c r="G953" s="306">
        <f t="shared" ca="1" si="417"/>
        <v>6.4610494744601583</v>
      </c>
      <c r="H953" s="307">
        <f t="shared" ca="1" si="418"/>
        <v>-134.73959651751215</v>
      </c>
      <c r="I953" s="304">
        <f t="shared" ca="1" si="419"/>
        <v>134.89441808323053</v>
      </c>
      <c r="J953" s="306">
        <f t="shared" ca="1" si="420"/>
        <v>638.40045476391947</v>
      </c>
      <c r="K953" s="307">
        <f t="shared" ca="1" si="421"/>
        <v>-10.527416397568906</v>
      </c>
      <c r="L953" s="304">
        <f t="shared" ca="1" si="406"/>
        <v>638.48724900250511</v>
      </c>
      <c r="M953" s="306">
        <f t="shared" ca="1" si="422"/>
        <v>-1.5228809086806598</v>
      </c>
      <c r="N953" s="304">
        <f t="shared" ca="1" si="423"/>
        <v>-87.254648768449542</v>
      </c>
      <c r="P953" s="310">
        <f t="shared" ca="1" si="424"/>
        <v>23</v>
      </c>
      <c r="Q953" s="304">
        <f t="shared" ca="1" si="425"/>
        <v>0</v>
      </c>
      <c r="R953" s="306">
        <f t="shared" ca="1" si="426"/>
        <v>0</v>
      </c>
      <c r="S953" s="307">
        <f t="shared" ca="1" si="427"/>
        <v>10.637999999999975</v>
      </c>
      <c r="T953" s="304">
        <f t="shared" ca="1" si="407"/>
        <v>104.35877999999975</v>
      </c>
      <c r="U953" s="311">
        <f t="shared" ca="1" si="408"/>
        <v>0</v>
      </c>
      <c r="V953" s="306">
        <f t="shared" ca="1" si="409"/>
        <v>1.2262902876784856</v>
      </c>
      <c r="W953" s="304">
        <f t="shared" ca="1" si="410"/>
        <v>92.740478421588975</v>
      </c>
      <c r="Y953" s="314" t="str">
        <f t="shared" ca="1" si="428"/>
        <v/>
      </c>
      <c r="Z953" s="315" t="str">
        <f t="shared" ca="1" si="429"/>
        <v/>
      </c>
      <c r="AA953" s="316" t="str">
        <f t="shared" ca="1" si="430"/>
        <v/>
      </c>
      <c r="AC953" s="310" t="e">
        <f t="shared" ca="1" si="431"/>
        <v>#N/A</v>
      </c>
      <c r="AD953" s="323" t="e">
        <f t="shared" ca="1" si="432"/>
        <v>#N/A</v>
      </c>
      <c r="AE953" s="324" t="e">
        <f t="shared" ca="1" si="411"/>
        <v>#N/A</v>
      </c>
      <c r="AG953" s="306">
        <f t="shared" ca="1" si="433"/>
        <v>1.0809173098460896</v>
      </c>
      <c r="AH953" s="304">
        <f t="shared" ca="1" si="434"/>
        <v>-8.7178233537088623</v>
      </c>
    </row>
    <row r="954" spans="1:34" x14ac:dyDescent="0.25">
      <c r="A954" s="347">
        <f t="shared" ca="1" si="412"/>
        <v>1E-4</v>
      </c>
      <c r="B954" s="304">
        <f t="shared" ca="1" si="413"/>
        <v>42.907100000000511</v>
      </c>
      <c r="D954" s="306">
        <f t="shared" ca="1" si="414"/>
        <v>-0.41755956222339863</v>
      </c>
      <c r="E954" s="307">
        <f t="shared" ca="1" si="415"/>
        <v>-1.1021566135027072</v>
      </c>
      <c r="F954" s="304">
        <f t="shared" ca="1" si="416"/>
        <v>1.1786030666394653</v>
      </c>
      <c r="G954" s="306">
        <f t="shared" ca="1" si="417"/>
        <v>6.4610077185039358</v>
      </c>
      <c r="H954" s="307">
        <f t="shared" ca="1" si="418"/>
        <v>-134.73970673317351</v>
      </c>
      <c r="I954" s="304">
        <f t="shared" ca="1" si="419"/>
        <v>134.89452617241432</v>
      </c>
      <c r="J954" s="306">
        <f t="shared" ca="1" si="420"/>
        <v>638.40045476391947</v>
      </c>
      <c r="K954" s="307">
        <f t="shared" ca="1" si="421"/>
        <v>-10.540890362731441</v>
      </c>
      <c r="L954" s="304">
        <f t="shared" ca="1" si="406"/>
        <v>638.48747130418963</v>
      </c>
      <c r="M954" s="306">
        <f t="shared" ca="1" si="422"/>
        <v>-1.5228812570049559</v>
      </c>
      <c r="N954" s="304">
        <f t="shared" ca="1" si="423"/>
        <v>-87.254668725961608</v>
      </c>
      <c r="P954" s="310">
        <f t="shared" ca="1" si="424"/>
        <v>23</v>
      </c>
      <c r="Q954" s="304">
        <f t="shared" ca="1" si="425"/>
        <v>0</v>
      </c>
      <c r="R954" s="306">
        <f t="shared" ca="1" si="426"/>
        <v>0</v>
      </c>
      <c r="S954" s="307">
        <f t="shared" ca="1" si="427"/>
        <v>10.637999999999975</v>
      </c>
      <c r="T954" s="304">
        <f t="shared" ca="1" si="407"/>
        <v>104.35877999999975</v>
      </c>
      <c r="U954" s="311">
        <f t="shared" ca="1" si="408"/>
        <v>0</v>
      </c>
      <c r="V954" s="306">
        <f t="shared" ca="1" si="409"/>
        <v>1.2262919399793186</v>
      </c>
      <c r="W954" s="304">
        <f t="shared" ca="1" si="410"/>
        <v>92.740752003699924</v>
      </c>
      <c r="Y954" s="314" t="str">
        <f t="shared" ca="1" si="428"/>
        <v/>
      </c>
      <c r="Z954" s="315" t="str">
        <f t="shared" ca="1" si="429"/>
        <v/>
      </c>
      <c r="AA954" s="316" t="str">
        <f t="shared" ca="1" si="430"/>
        <v/>
      </c>
      <c r="AC954" s="310" t="e">
        <f t="shared" ca="1" si="431"/>
        <v>#N/A</v>
      </c>
      <c r="AD954" s="323" t="e">
        <f t="shared" ca="1" si="432"/>
        <v>#N/A</v>
      </c>
      <c r="AE954" s="324" t="e">
        <f t="shared" ca="1" si="411"/>
        <v>#N/A</v>
      </c>
      <c r="AG954" s="306">
        <f t="shared" ca="1" si="433"/>
        <v>1.0808917558207618</v>
      </c>
      <c r="AH954" s="304">
        <f t="shared" ca="1" si="434"/>
        <v>-8.7178490714033838</v>
      </c>
    </row>
    <row r="955" spans="1:34" x14ac:dyDescent="0.25">
      <c r="A955" s="347">
        <f t="shared" ca="1" si="412"/>
        <v>1E-4</v>
      </c>
      <c r="B955" s="304">
        <f t="shared" ca="1" si="413"/>
        <v>42.907200000000515</v>
      </c>
      <c r="D955" s="306">
        <f t="shared" ca="1" si="414"/>
        <v>-0.41755776085135871</v>
      </c>
      <c r="E955" s="307">
        <f t="shared" ca="1" si="415"/>
        <v>-1.1021307801346722</v>
      </c>
      <c r="F955" s="304">
        <f t="shared" ca="1" si="416"/>
        <v>1.1785782707005343</v>
      </c>
      <c r="G955" s="306">
        <f t="shared" ca="1" si="417"/>
        <v>6.4609659627278511</v>
      </c>
      <c r="H955" s="307">
        <f t="shared" ca="1" si="418"/>
        <v>-134.73981694625152</v>
      </c>
      <c r="I955" s="304">
        <f t="shared" ca="1" si="419"/>
        <v>134.8946342590427</v>
      </c>
      <c r="J955" s="306">
        <f t="shared" ca="1" si="420"/>
        <v>638.40045476391947</v>
      </c>
      <c r="K955" s="307">
        <f t="shared" ca="1" si="421"/>
        <v>-10.554364338915411</v>
      </c>
      <c r="L955" s="304">
        <f t="shared" ca="1" si="406"/>
        <v>638.48769389031906</v>
      </c>
      <c r="M955" s="306">
        <f t="shared" ca="1" si="422"/>
        <v>-1.5228816053264425</v>
      </c>
      <c r="N955" s="304">
        <f t="shared" ca="1" si="423"/>
        <v>-87.254688683312708</v>
      </c>
      <c r="P955" s="310">
        <f t="shared" ca="1" si="424"/>
        <v>23</v>
      </c>
      <c r="Q955" s="304">
        <f t="shared" ca="1" si="425"/>
        <v>0</v>
      </c>
      <c r="R955" s="306">
        <f t="shared" ca="1" si="426"/>
        <v>0</v>
      </c>
      <c r="S955" s="307">
        <f t="shared" ca="1" si="427"/>
        <v>10.637999999999975</v>
      </c>
      <c r="T955" s="304">
        <f t="shared" ca="1" si="407"/>
        <v>104.35877999999975</v>
      </c>
      <c r="U955" s="311">
        <f t="shared" ca="1" si="408"/>
        <v>0</v>
      </c>
      <c r="V955" s="306">
        <f t="shared" ca="1" si="409"/>
        <v>1.2262935922837306</v>
      </c>
      <c r="W955" s="304">
        <f t="shared" ca="1" si="410"/>
        <v>92.741025583087392</v>
      </c>
      <c r="Y955" s="314" t="str">
        <f t="shared" ca="1" si="428"/>
        <v/>
      </c>
      <c r="Z955" s="315" t="str">
        <f t="shared" ca="1" si="429"/>
        <v/>
      </c>
      <c r="AA955" s="316" t="str">
        <f t="shared" ca="1" si="430"/>
        <v/>
      </c>
      <c r="AC955" s="310" t="e">
        <f t="shared" ca="1" si="431"/>
        <v>#N/A</v>
      </c>
      <c r="AD955" s="323" t="e">
        <f t="shared" ca="1" si="432"/>
        <v>#N/A</v>
      </c>
      <c r="AE955" s="324" t="e">
        <f t="shared" ca="1" si="411"/>
        <v>#N/A</v>
      </c>
      <c r="AG955" s="306">
        <f t="shared" ca="1" si="433"/>
        <v>1.0808662020489308</v>
      </c>
      <c r="AH955" s="304">
        <f t="shared" ca="1" si="434"/>
        <v>-8.7178747888419004</v>
      </c>
    </row>
    <row r="956" spans="1:34" x14ac:dyDescent="0.25">
      <c r="A956" s="347">
        <f t="shared" ca="1" si="412"/>
        <v>1E-4</v>
      </c>
      <c r="B956" s="304">
        <f t="shared" ca="1" si="413"/>
        <v>42.907300000000518</v>
      </c>
      <c r="D956" s="306">
        <f t="shared" ca="1" si="414"/>
        <v>-0.41755595947357577</v>
      </c>
      <c r="E956" s="307">
        <f t="shared" ca="1" si="415"/>
        <v>-1.1021049470237259</v>
      </c>
      <c r="F956" s="304">
        <f t="shared" ca="1" si="416"/>
        <v>1.1785534750473006</v>
      </c>
      <c r="G956" s="306">
        <f t="shared" ca="1" si="417"/>
        <v>6.460924207131904</v>
      </c>
      <c r="H956" s="307">
        <f t="shared" ca="1" si="418"/>
        <v>-134.73992715674623</v>
      </c>
      <c r="I956" s="304">
        <f t="shared" ca="1" si="419"/>
        <v>134.89474234311575</v>
      </c>
      <c r="J956" s="306">
        <f t="shared" ca="1" si="420"/>
        <v>638.40045476391947</v>
      </c>
      <c r="K956" s="307">
        <f t="shared" ca="1" si="421"/>
        <v>-10.56783832612056</v>
      </c>
      <c r="L956" s="304">
        <f t="shared" ca="1" si="406"/>
        <v>638.48791676089388</v>
      </c>
      <c r="M956" s="306">
        <f t="shared" ca="1" si="422"/>
        <v>-1.5228819536451199</v>
      </c>
      <c r="N956" s="304">
        <f t="shared" ca="1" si="423"/>
        <v>-87.254708640502841</v>
      </c>
      <c r="P956" s="310">
        <f t="shared" ca="1" si="424"/>
        <v>23</v>
      </c>
      <c r="Q956" s="304">
        <f t="shared" ca="1" si="425"/>
        <v>0</v>
      </c>
      <c r="R956" s="306">
        <f t="shared" ca="1" si="426"/>
        <v>0</v>
      </c>
      <c r="S956" s="307">
        <f t="shared" ca="1" si="427"/>
        <v>10.637999999999975</v>
      </c>
      <c r="T956" s="304">
        <f t="shared" ca="1" si="407"/>
        <v>104.35877999999975</v>
      </c>
      <c r="U956" s="311">
        <f t="shared" ca="1" si="408"/>
        <v>0</v>
      </c>
      <c r="V956" s="306">
        <f t="shared" ca="1" si="409"/>
        <v>1.2262952445917219</v>
      </c>
      <c r="W956" s="304">
        <f t="shared" ca="1" si="410"/>
        <v>92.741299159751563</v>
      </c>
      <c r="Y956" s="314" t="str">
        <f t="shared" ca="1" si="428"/>
        <v/>
      </c>
      <c r="Z956" s="315" t="str">
        <f t="shared" ca="1" si="429"/>
        <v/>
      </c>
      <c r="AA956" s="316" t="str">
        <f t="shared" ca="1" si="430"/>
        <v/>
      </c>
      <c r="AC956" s="310" t="e">
        <f t="shared" ca="1" si="431"/>
        <v>#N/A</v>
      </c>
      <c r="AD956" s="323" t="e">
        <f t="shared" ca="1" si="432"/>
        <v>#N/A</v>
      </c>
      <c r="AE956" s="324" t="e">
        <f t="shared" ca="1" si="411"/>
        <v>#N/A</v>
      </c>
      <c r="AG956" s="306">
        <f t="shared" ca="1" si="433"/>
        <v>1.0808406485306019</v>
      </c>
      <c r="AH956" s="304">
        <f t="shared" ca="1" si="434"/>
        <v>-8.7179005060244048</v>
      </c>
    </row>
    <row r="957" spans="1:34" x14ac:dyDescent="0.25">
      <c r="A957" s="347">
        <f t="shared" ca="1" si="412"/>
        <v>1E-4</v>
      </c>
      <c r="B957" s="304">
        <f t="shared" ca="1" si="413"/>
        <v>42.907400000000521</v>
      </c>
      <c r="D957" s="306">
        <f t="shared" ca="1" si="414"/>
        <v>-0.41755415809004698</v>
      </c>
      <c r="E957" s="307">
        <f t="shared" ca="1" si="415"/>
        <v>-1.1020791141698574</v>
      </c>
      <c r="F957" s="304">
        <f t="shared" ca="1" si="416"/>
        <v>1.1785286796797545</v>
      </c>
      <c r="G957" s="306">
        <f t="shared" ca="1" si="417"/>
        <v>6.4608824517160945</v>
      </c>
      <c r="H957" s="307">
        <f t="shared" ca="1" si="418"/>
        <v>-134.74003736465764</v>
      </c>
      <c r="I957" s="304">
        <f t="shared" ca="1" si="419"/>
        <v>134.89485042463346</v>
      </c>
      <c r="J957" s="306">
        <f t="shared" ca="1" si="420"/>
        <v>638.40045476391947</v>
      </c>
      <c r="K957" s="307">
        <f t="shared" ca="1" si="421"/>
        <v>-10.58131232434663</v>
      </c>
      <c r="L957" s="304">
        <f t="shared" ca="1" si="406"/>
        <v>638.48813991591464</v>
      </c>
      <c r="M957" s="306">
        <f t="shared" ca="1" si="422"/>
        <v>-1.5228823019609881</v>
      </c>
      <c r="N957" s="304">
        <f t="shared" ca="1" si="423"/>
        <v>-87.254728597532022</v>
      </c>
      <c r="P957" s="310">
        <f t="shared" ca="1" si="424"/>
        <v>23</v>
      </c>
      <c r="Q957" s="304">
        <f t="shared" ca="1" si="425"/>
        <v>0</v>
      </c>
      <c r="R957" s="306">
        <f t="shared" ca="1" si="426"/>
        <v>0</v>
      </c>
      <c r="S957" s="307">
        <f t="shared" ca="1" si="427"/>
        <v>10.637999999999975</v>
      </c>
      <c r="T957" s="304">
        <f t="shared" ca="1" si="407"/>
        <v>104.35877999999975</v>
      </c>
      <c r="U957" s="311">
        <f t="shared" ca="1" si="408"/>
        <v>0</v>
      </c>
      <c r="V957" s="306">
        <f t="shared" ca="1" si="409"/>
        <v>1.2262968969032919</v>
      </c>
      <c r="W957" s="304">
        <f t="shared" ca="1" si="410"/>
        <v>92.741572733692266</v>
      </c>
      <c r="Y957" s="314" t="str">
        <f t="shared" ca="1" si="428"/>
        <v/>
      </c>
      <c r="Z957" s="315" t="str">
        <f t="shared" ca="1" si="429"/>
        <v/>
      </c>
      <c r="AA957" s="316" t="str">
        <f t="shared" ca="1" si="430"/>
        <v/>
      </c>
      <c r="AC957" s="310" t="e">
        <f t="shared" ca="1" si="431"/>
        <v>#N/A</v>
      </c>
      <c r="AD957" s="323" t="e">
        <f t="shared" ca="1" si="432"/>
        <v>#N/A</v>
      </c>
      <c r="AE957" s="324" t="e">
        <f t="shared" ca="1" si="411"/>
        <v>#N/A</v>
      </c>
      <c r="AG957" s="306">
        <f t="shared" ca="1" si="433"/>
        <v>1.0808150952657645</v>
      </c>
      <c r="AH957" s="304">
        <f t="shared" ca="1" si="434"/>
        <v>-8.7179262229509096</v>
      </c>
    </row>
    <row r="958" spans="1:34" x14ac:dyDescent="0.25">
      <c r="A958" s="347">
        <f t="shared" ca="1" si="412"/>
        <v>1E-4</v>
      </c>
      <c r="B958" s="304">
        <f t="shared" ca="1" si="413"/>
        <v>42.907500000000525</v>
      </c>
      <c r="D958" s="306">
        <f t="shared" ca="1" si="414"/>
        <v>-0.41755235670077412</v>
      </c>
      <c r="E958" s="307">
        <f t="shared" ca="1" si="415"/>
        <v>-1.1020532815730792</v>
      </c>
      <c r="F958" s="304">
        <f t="shared" ca="1" si="416"/>
        <v>1.1785038845979097</v>
      </c>
      <c r="G958" s="306">
        <f t="shared" ca="1" si="417"/>
        <v>6.4608406964804246</v>
      </c>
      <c r="H958" s="307">
        <f t="shared" ca="1" si="418"/>
        <v>-134.74014756998579</v>
      </c>
      <c r="I958" s="304">
        <f t="shared" ca="1" si="419"/>
        <v>134.89495850359586</v>
      </c>
      <c r="J958" s="306">
        <f t="shared" ca="1" si="420"/>
        <v>638.40045476391947</v>
      </c>
      <c r="K958" s="307">
        <f t="shared" ca="1" si="421"/>
        <v>-10.594786333593362</v>
      </c>
      <c r="L958" s="304">
        <f t="shared" ca="1" si="406"/>
        <v>638.48836335538147</v>
      </c>
      <c r="M958" s="306">
        <f t="shared" ca="1" si="422"/>
        <v>-1.5228826502740469</v>
      </c>
      <c r="N958" s="304">
        <f t="shared" ca="1" si="423"/>
        <v>-87.254748554400251</v>
      </c>
      <c r="P958" s="310">
        <f t="shared" ca="1" si="424"/>
        <v>23</v>
      </c>
      <c r="Q958" s="304">
        <f t="shared" ca="1" si="425"/>
        <v>0</v>
      </c>
      <c r="R958" s="306">
        <f t="shared" ca="1" si="426"/>
        <v>0</v>
      </c>
      <c r="S958" s="307">
        <f t="shared" ca="1" si="427"/>
        <v>10.637999999999975</v>
      </c>
      <c r="T958" s="304">
        <f t="shared" ca="1" si="407"/>
        <v>104.35877999999975</v>
      </c>
      <c r="U958" s="311">
        <f t="shared" ca="1" si="408"/>
        <v>0</v>
      </c>
      <c r="V958" s="306">
        <f t="shared" ca="1" si="409"/>
        <v>1.2262985492184408</v>
      </c>
      <c r="W958" s="304">
        <f t="shared" ca="1" si="410"/>
        <v>92.741846304909586</v>
      </c>
      <c r="Y958" s="314" t="str">
        <f t="shared" ca="1" si="428"/>
        <v/>
      </c>
      <c r="Z958" s="315" t="str">
        <f t="shared" ca="1" si="429"/>
        <v/>
      </c>
      <c r="AA958" s="316" t="str">
        <f t="shared" ca="1" si="430"/>
        <v/>
      </c>
      <c r="AC958" s="310" t="e">
        <f t="shared" ca="1" si="431"/>
        <v>#N/A</v>
      </c>
      <c r="AD958" s="323" t="e">
        <f t="shared" ca="1" si="432"/>
        <v>#N/A</v>
      </c>
      <c r="AE958" s="324" t="e">
        <f t="shared" ca="1" si="411"/>
        <v>#N/A</v>
      </c>
      <c r="AG958" s="306">
        <f t="shared" ca="1" si="433"/>
        <v>1.0807895422544291</v>
      </c>
      <c r="AH958" s="304">
        <f t="shared" ca="1" si="434"/>
        <v>-8.7179519396214022</v>
      </c>
    </row>
    <row r="959" spans="1:34" x14ac:dyDescent="0.25">
      <c r="A959" s="347">
        <f t="shared" ca="1" si="412"/>
        <v>1E-4</v>
      </c>
      <c r="B959" s="304">
        <f t="shared" ca="1" si="413"/>
        <v>42.907600000000528</v>
      </c>
      <c r="D959" s="306">
        <f t="shared" ca="1" si="414"/>
        <v>-0.41755055530575802</v>
      </c>
      <c r="E959" s="307">
        <f t="shared" ca="1" si="415"/>
        <v>-1.1020274492333826</v>
      </c>
      <c r="F959" s="304">
        <f t="shared" ca="1" si="416"/>
        <v>1.178479089801759</v>
      </c>
      <c r="G959" s="306">
        <f t="shared" ca="1" si="417"/>
        <v>6.4607989414248941</v>
      </c>
      <c r="H959" s="307">
        <f t="shared" ca="1" si="418"/>
        <v>-134.74025777273073</v>
      </c>
      <c r="I959" s="304">
        <f t="shared" ca="1" si="419"/>
        <v>134.895066580003</v>
      </c>
      <c r="J959" s="306">
        <f t="shared" ca="1" si="420"/>
        <v>638.40045476391947</v>
      </c>
      <c r="K959" s="307">
        <f t="shared" ca="1" si="421"/>
        <v>-10.608260353860498</v>
      </c>
      <c r="L959" s="304">
        <f t="shared" ca="1" si="406"/>
        <v>638.48858707929503</v>
      </c>
      <c r="M959" s="306">
        <f t="shared" ca="1" si="422"/>
        <v>-1.5228829985842964</v>
      </c>
      <c r="N959" s="304">
        <f t="shared" ca="1" si="423"/>
        <v>-87.254768511107514</v>
      </c>
      <c r="P959" s="310">
        <f t="shared" ca="1" si="424"/>
        <v>23</v>
      </c>
      <c r="Q959" s="304">
        <f t="shared" ca="1" si="425"/>
        <v>0</v>
      </c>
      <c r="R959" s="306">
        <f t="shared" ca="1" si="426"/>
        <v>0</v>
      </c>
      <c r="S959" s="307">
        <f t="shared" ca="1" si="427"/>
        <v>10.637999999999975</v>
      </c>
      <c r="T959" s="304">
        <f t="shared" ca="1" si="407"/>
        <v>104.35877999999975</v>
      </c>
      <c r="U959" s="311">
        <f t="shared" ca="1" si="408"/>
        <v>0</v>
      </c>
      <c r="V959" s="306">
        <f t="shared" ca="1" si="409"/>
        <v>1.2263002015371689</v>
      </c>
      <c r="W959" s="304">
        <f t="shared" ca="1" si="410"/>
        <v>92.742119873403595</v>
      </c>
      <c r="Y959" s="314" t="str">
        <f t="shared" ca="1" si="428"/>
        <v/>
      </c>
      <c r="Z959" s="315" t="str">
        <f t="shared" ca="1" si="429"/>
        <v/>
      </c>
      <c r="AA959" s="316" t="str">
        <f t="shared" ca="1" si="430"/>
        <v/>
      </c>
      <c r="AC959" s="310" t="e">
        <f t="shared" ca="1" si="431"/>
        <v>#N/A</v>
      </c>
      <c r="AD959" s="323" t="e">
        <f t="shared" ca="1" si="432"/>
        <v>#N/A</v>
      </c>
      <c r="AE959" s="324" t="e">
        <f t="shared" ca="1" si="411"/>
        <v>#N/A</v>
      </c>
      <c r="AG959" s="306">
        <f t="shared" ca="1" si="433"/>
        <v>1.0807639894965924</v>
      </c>
      <c r="AH959" s="304">
        <f t="shared" ca="1" si="434"/>
        <v>-8.7179776560358899</v>
      </c>
    </row>
    <row r="960" spans="1:34" x14ac:dyDescent="0.25">
      <c r="A960" s="347">
        <f t="shared" ca="1" si="412"/>
        <v>1E-4</v>
      </c>
      <c r="B960" s="304">
        <f t="shared" ca="1" si="413"/>
        <v>42.907700000000531</v>
      </c>
      <c r="D960" s="306">
        <f t="shared" ca="1" si="414"/>
        <v>-0.41754875390499957</v>
      </c>
      <c r="E960" s="307">
        <f t="shared" ca="1" si="415"/>
        <v>-1.1020016171507621</v>
      </c>
      <c r="F960" s="304">
        <f t="shared" ca="1" si="416"/>
        <v>1.1784542952912993</v>
      </c>
      <c r="G960" s="306">
        <f t="shared" ca="1" si="417"/>
        <v>6.4607571865495039</v>
      </c>
      <c r="H960" s="307">
        <f t="shared" ca="1" si="418"/>
        <v>-134.74036797289244</v>
      </c>
      <c r="I960" s="304">
        <f t="shared" ca="1" si="419"/>
        <v>134.89517465385487</v>
      </c>
      <c r="J960" s="306">
        <f t="shared" ca="1" si="420"/>
        <v>638.40045476391947</v>
      </c>
      <c r="K960" s="307">
        <f t="shared" ca="1" si="421"/>
        <v>-10.621734385147779</v>
      </c>
      <c r="L960" s="304">
        <f t="shared" ca="1" si="406"/>
        <v>638.48881108765545</v>
      </c>
      <c r="M960" s="306">
        <f t="shared" ca="1" si="422"/>
        <v>-1.5228833468917371</v>
      </c>
      <c r="N960" s="304">
        <f t="shared" ca="1" si="423"/>
        <v>-87.254788467653825</v>
      </c>
      <c r="P960" s="310">
        <f t="shared" ca="1" si="424"/>
        <v>23</v>
      </c>
      <c r="Q960" s="304">
        <f t="shared" ca="1" si="425"/>
        <v>0</v>
      </c>
      <c r="R960" s="306">
        <f t="shared" ca="1" si="426"/>
        <v>0</v>
      </c>
      <c r="S960" s="307">
        <f t="shared" ca="1" si="427"/>
        <v>10.637999999999975</v>
      </c>
      <c r="T960" s="304">
        <f t="shared" ca="1" si="407"/>
        <v>104.35877999999975</v>
      </c>
      <c r="U960" s="311">
        <f t="shared" ca="1" si="408"/>
        <v>0</v>
      </c>
      <c r="V960" s="306">
        <f t="shared" ca="1" si="409"/>
        <v>1.2263018538594761</v>
      </c>
      <c r="W960" s="304">
        <f t="shared" ca="1" si="410"/>
        <v>92.742393439174251</v>
      </c>
      <c r="Y960" s="314" t="str">
        <f t="shared" ca="1" si="428"/>
        <v/>
      </c>
      <c r="Z960" s="315" t="str">
        <f t="shared" ca="1" si="429"/>
        <v/>
      </c>
      <c r="AA960" s="316" t="str">
        <f t="shared" ca="1" si="430"/>
        <v/>
      </c>
      <c r="AC960" s="310" t="e">
        <f t="shared" ca="1" si="431"/>
        <v>#N/A</v>
      </c>
      <c r="AD960" s="323" t="e">
        <f t="shared" ca="1" si="432"/>
        <v>#N/A</v>
      </c>
      <c r="AE960" s="324" t="e">
        <f t="shared" ca="1" si="411"/>
        <v>#N/A</v>
      </c>
      <c r="AG960" s="306">
        <f t="shared" ca="1" si="433"/>
        <v>1.0807384369922435</v>
      </c>
      <c r="AH960" s="304">
        <f t="shared" ca="1" si="434"/>
        <v>-8.7180033721943797</v>
      </c>
    </row>
    <row r="961" spans="1:34" x14ac:dyDescent="0.25">
      <c r="A961" s="347">
        <f t="shared" ca="1" si="412"/>
        <v>1E-4</v>
      </c>
      <c r="B961" s="304">
        <f t="shared" ca="1" si="413"/>
        <v>42.907800000000535</v>
      </c>
      <c r="D961" s="306">
        <f t="shared" ca="1" si="414"/>
        <v>-0.41754695249849505</v>
      </c>
      <c r="E961" s="307">
        <f t="shared" ca="1" si="415"/>
        <v>-1.1019757853252212</v>
      </c>
      <c r="F961" s="304">
        <f t="shared" ca="1" si="416"/>
        <v>1.1784295010665333</v>
      </c>
      <c r="G961" s="306">
        <f t="shared" ca="1" si="417"/>
        <v>6.4607154318542541</v>
      </c>
      <c r="H961" s="307">
        <f t="shared" ca="1" si="418"/>
        <v>-134.74047817047096</v>
      </c>
      <c r="I961" s="304">
        <f t="shared" ca="1" si="419"/>
        <v>134.8952827251515</v>
      </c>
      <c r="J961" s="306">
        <f t="shared" ca="1" si="420"/>
        <v>638.40045476391947</v>
      </c>
      <c r="K961" s="307">
        <f t="shared" ca="1" si="421"/>
        <v>-10.635208427454947</v>
      </c>
      <c r="L961" s="304">
        <f t="shared" ca="1" si="406"/>
        <v>638.48903538046341</v>
      </c>
      <c r="M961" s="306">
        <f t="shared" ca="1" si="422"/>
        <v>-1.5228836951963685</v>
      </c>
      <c r="N961" s="304">
        <f t="shared" ca="1" si="423"/>
        <v>-87.254808424039197</v>
      </c>
      <c r="P961" s="310">
        <f t="shared" ca="1" si="424"/>
        <v>23</v>
      </c>
      <c r="Q961" s="304">
        <f t="shared" ca="1" si="425"/>
        <v>0</v>
      </c>
      <c r="R961" s="306">
        <f t="shared" ca="1" si="426"/>
        <v>0</v>
      </c>
      <c r="S961" s="307">
        <f t="shared" ca="1" si="427"/>
        <v>10.637999999999975</v>
      </c>
      <c r="T961" s="304">
        <f t="shared" ca="1" si="407"/>
        <v>104.35877999999975</v>
      </c>
      <c r="U961" s="311">
        <f t="shared" ca="1" si="408"/>
        <v>0</v>
      </c>
      <c r="V961" s="306">
        <f t="shared" ca="1" si="409"/>
        <v>1.2263035061853618</v>
      </c>
      <c r="W961" s="304">
        <f t="shared" ca="1" si="410"/>
        <v>92.742667002221509</v>
      </c>
      <c r="Y961" s="314" t="str">
        <f t="shared" ca="1" si="428"/>
        <v/>
      </c>
      <c r="Z961" s="315" t="str">
        <f t="shared" ca="1" si="429"/>
        <v/>
      </c>
      <c r="AA961" s="316" t="str">
        <f t="shared" ca="1" si="430"/>
        <v/>
      </c>
      <c r="AC961" s="310" t="e">
        <f t="shared" ca="1" si="431"/>
        <v>#N/A</v>
      </c>
      <c r="AD961" s="323" t="e">
        <f t="shared" ca="1" si="432"/>
        <v>#N/A</v>
      </c>
      <c r="AE961" s="324" t="e">
        <f t="shared" ca="1" si="411"/>
        <v>#N/A</v>
      </c>
      <c r="AG961" s="306">
        <f t="shared" ca="1" si="433"/>
        <v>1.0807128847413896</v>
      </c>
      <c r="AH961" s="304">
        <f t="shared" ca="1" si="434"/>
        <v>-8.7180290880968663</v>
      </c>
    </row>
    <row r="962" spans="1:34" x14ac:dyDescent="0.25">
      <c r="A962" s="347">
        <f t="shared" ca="1" si="412"/>
        <v>1E-4</v>
      </c>
      <c r="B962" s="304">
        <f t="shared" ca="1" si="413"/>
        <v>42.907900000000538</v>
      </c>
      <c r="D962" s="306">
        <f t="shared" ca="1" si="414"/>
        <v>-0.41754515108624879</v>
      </c>
      <c r="E962" s="307">
        <f t="shared" ca="1" si="415"/>
        <v>-1.1019499537567636</v>
      </c>
      <c r="F962" s="304">
        <f t="shared" ca="1" si="416"/>
        <v>1.1784047071274673</v>
      </c>
      <c r="G962" s="306">
        <f t="shared" ca="1" si="417"/>
        <v>6.4606736773391455</v>
      </c>
      <c r="H962" s="307">
        <f t="shared" ca="1" si="418"/>
        <v>-134.74058836546635</v>
      </c>
      <c r="I962" s="304">
        <f t="shared" ca="1" si="419"/>
        <v>134.89539079389297</v>
      </c>
      <c r="J962" s="306">
        <f t="shared" ca="1" si="420"/>
        <v>638.40045476391947</v>
      </c>
      <c r="K962" s="307">
        <f t="shared" ca="1" si="421"/>
        <v>-10.648682480781744</v>
      </c>
      <c r="L962" s="304">
        <f t="shared" ca="1" si="406"/>
        <v>638.48925995771901</v>
      </c>
      <c r="M962" s="306">
        <f t="shared" ca="1" si="422"/>
        <v>-1.5228840434981905</v>
      </c>
      <c r="N962" s="304">
        <f t="shared" ca="1" si="423"/>
        <v>-87.254828380263589</v>
      </c>
      <c r="P962" s="310">
        <f t="shared" ca="1" si="424"/>
        <v>23</v>
      </c>
      <c r="Q962" s="304">
        <f t="shared" ca="1" si="425"/>
        <v>0</v>
      </c>
      <c r="R962" s="306">
        <f t="shared" ca="1" si="426"/>
        <v>0</v>
      </c>
      <c r="S962" s="307">
        <f t="shared" ca="1" si="427"/>
        <v>10.637999999999975</v>
      </c>
      <c r="T962" s="304">
        <f t="shared" ca="1" si="407"/>
        <v>104.35877999999975</v>
      </c>
      <c r="U962" s="311">
        <f t="shared" ca="1" si="408"/>
        <v>0</v>
      </c>
      <c r="V962" s="306">
        <f t="shared" ca="1" si="409"/>
        <v>1.2263051585148266</v>
      </c>
      <c r="W962" s="304">
        <f t="shared" ca="1" si="410"/>
        <v>92.742940562545527</v>
      </c>
      <c r="Y962" s="314" t="str">
        <f t="shared" ca="1" si="428"/>
        <v/>
      </c>
      <c r="Z962" s="315" t="str">
        <f t="shared" ca="1" si="429"/>
        <v/>
      </c>
      <c r="AA962" s="316" t="str">
        <f t="shared" ca="1" si="430"/>
        <v/>
      </c>
      <c r="AC962" s="310" t="e">
        <f t="shared" ca="1" si="431"/>
        <v>#N/A</v>
      </c>
      <c r="AD962" s="323" t="e">
        <f t="shared" ca="1" si="432"/>
        <v>#N/A</v>
      </c>
      <c r="AE962" s="324" t="e">
        <f t="shared" ca="1" si="411"/>
        <v>#N/A</v>
      </c>
      <c r="AG962" s="306">
        <f t="shared" ca="1" si="433"/>
        <v>1.0806873327440307</v>
      </c>
      <c r="AH962" s="304">
        <f t="shared" ca="1" si="434"/>
        <v>-8.7180548037433478</v>
      </c>
    </row>
    <row r="963" spans="1:34" x14ac:dyDescent="0.25">
      <c r="A963" s="347">
        <f t="shared" ca="1" si="412"/>
        <v>1E-4</v>
      </c>
      <c r="B963" s="304">
        <f t="shared" ca="1" si="413"/>
        <v>42.908000000000541</v>
      </c>
      <c r="D963" s="306">
        <f t="shared" ca="1" si="414"/>
        <v>-0.41754334966826179</v>
      </c>
      <c r="E963" s="307">
        <f t="shared" ca="1" si="415"/>
        <v>-1.1019241224453786</v>
      </c>
      <c r="F963" s="304">
        <f t="shared" ca="1" si="416"/>
        <v>1.1783799134740927</v>
      </c>
      <c r="G963" s="306">
        <f t="shared" ca="1" si="417"/>
        <v>6.4606319230041791</v>
      </c>
      <c r="H963" s="307">
        <f t="shared" ca="1" si="418"/>
        <v>-134.7406985578786</v>
      </c>
      <c r="I963" s="304">
        <f t="shared" ca="1" si="419"/>
        <v>134.89549886007927</v>
      </c>
      <c r="J963" s="306">
        <f t="shared" ca="1" si="420"/>
        <v>638.40045476391947</v>
      </c>
      <c r="K963" s="307">
        <f t="shared" ca="1" si="421"/>
        <v>-10.662156545127912</v>
      </c>
      <c r="L963" s="304">
        <f t="shared" ca="1" si="406"/>
        <v>638.48948481942284</v>
      </c>
      <c r="M963" s="306">
        <f t="shared" ca="1" si="422"/>
        <v>-1.5228843917972037</v>
      </c>
      <c r="N963" s="304">
        <f t="shared" ca="1" si="423"/>
        <v>-87.254848336327058</v>
      </c>
      <c r="P963" s="310">
        <f t="shared" ca="1" si="424"/>
        <v>23</v>
      </c>
      <c r="Q963" s="304">
        <f t="shared" ca="1" si="425"/>
        <v>0</v>
      </c>
      <c r="R963" s="306">
        <f t="shared" ca="1" si="426"/>
        <v>0</v>
      </c>
      <c r="S963" s="307">
        <f t="shared" ca="1" si="427"/>
        <v>10.637999999999975</v>
      </c>
      <c r="T963" s="304">
        <f t="shared" ca="1" si="407"/>
        <v>104.35877999999975</v>
      </c>
      <c r="U963" s="311">
        <f t="shared" ca="1" si="408"/>
        <v>0</v>
      </c>
      <c r="V963" s="306">
        <f t="shared" ca="1" si="409"/>
        <v>1.2263068108478699</v>
      </c>
      <c r="W963" s="304">
        <f t="shared" ca="1" si="410"/>
        <v>92.74321412014622</v>
      </c>
      <c r="Y963" s="314" t="str">
        <f t="shared" ca="1" si="428"/>
        <v/>
      </c>
      <c r="Z963" s="315" t="str">
        <f t="shared" ca="1" si="429"/>
        <v/>
      </c>
      <c r="AA963" s="316" t="str">
        <f t="shared" ca="1" si="430"/>
        <v/>
      </c>
      <c r="AC963" s="310" t="e">
        <f t="shared" ca="1" si="431"/>
        <v>#N/A</v>
      </c>
      <c r="AD963" s="323" t="e">
        <f t="shared" ca="1" si="432"/>
        <v>#N/A</v>
      </c>
      <c r="AE963" s="324" t="e">
        <f t="shared" ca="1" si="411"/>
        <v>#N/A</v>
      </c>
      <c r="AG963" s="306">
        <f t="shared" ca="1" si="433"/>
        <v>1.080661781000158</v>
      </c>
      <c r="AH963" s="304">
        <f t="shared" ca="1" si="434"/>
        <v>-8.7180805191338351</v>
      </c>
    </row>
    <row r="964" spans="1:34" x14ac:dyDescent="0.25">
      <c r="A964" s="347">
        <f t="shared" ca="1" si="412"/>
        <v>1E-4</v>
      </c>
      <c r="B964" s="304">
        <f t="shared" ca="1" si="413"/>
        <v>42.908100000000545</v>
      </c>
      <c r="D964" s="306">
        <f t="shared" ca="1" si="414"/>
        <v>-0.41754154824453049</v>
      </c>
      <c r="E964" s="307">
        <f t="shared" ca="1" si="415"/>
        <v>-1.1018982913910698</v>
      </c>
      <c r="F964" s="304">
        <f t="shared" ca="1" si="416"/>
        <v>1.1783551201064129</v>
      </c>
      <c r="G964" s="306">
        <f t="shared" ca="1" si="417"/>
        <v>6.4605901688493548</v>
      </c>
      <c r="H964" s="307">
        <f t="shared" ca="1" si="418"/>
        <v>-134.74080874770775</v>
      </c>
      <c r="I964" s="304">
        <f t="shared" ca="1" si="419"/>
        <v>134.8956069237104</v>
      </c>
      <c r="J964" s="306">
        <f t="shared" ca="1" si="420"/>
        <v>638.40045476391947</v>
      </c>
      <c r="K964" s="307">
        <f t="shared" ca="1" si="421"/>
        <v>-10.675630620493191</v>
      </c>
      <c r="L964" s="304">
        <f t="shared" ref="L964:L1004" ca="1" si="435">SQRT(pos_x^2+pos_z^2)</f>
        <v>638.48970996557523</v>
      </c>
      <c r="M964" s="306">
        <f t="shared" ca="1" si="422"/>
        <v>-1.522884740093408</v>
      </c>
      <c r="N964" s="304">
        <f t="shared" ca="1" si="423"/>
        <v>-87.254868292229588</v>
      </c>
      <c r="P964" s="310">
        <f t="shared" ca="1" si="424"/>
        <v>23</v>
      </c>
      <c r="Q964" s="304">
        <f t="shared" ca="1" si="425"/>
        <v>0</v>
      </c>
      <c r="R964" s="306">
        <f t="shared" ca="1" si="426"/>
        <v>0</v>
      </c>
      <c r="S964" s="307">
        <f t="shared" ca="1" si="427"/>
        <v>10.637999999999975</v>
      </c>
      <c r="T964" s="304">
        <f t="shared" ref="T964:T1004" ca="1" si="436">m*g</f>
        <v>104.35877999999975</v>
      </c>
      <c r="U964" s="311">
        <f t="shared" ref="U964:U1004" ca="1" si="437">IF(pos_xz&lt;L_rampe,Poids*COS(Beta),0)</f>
        <v>0</v>
      </c>
      <c r="V964" s="306">
        <f t="shared" ref="V964:V1004" ca="1" si="438">Rho_moyen*(20000-Alt_rampe-pos_z)/(20000+Alt_rampe+pos_z)</f>
        <v>1.2263084631844923</v>
      </c>
      <c r="W964" s="304">
        <f t="shared" ref="W964:W1003" ca="1" si="439">1/2*Rho*Sref*Cx*vit_xz^2</f>
        <v>92.743487675023601</v>
      </c>
      <c r="Y964" s="314" t="str">
        <f t="shared" ca="1" si="428"/>
        <v/>
      </c>
      <c r="Z964" s="315" t="str">
        <f t="shared" ca="1" si="429"/>
        <v/>
      </c>
      <c r="AA964" s="316" t="str">
        <f t="shared" ca="1" si="430"/>
        <v/>
      </c>
      <c r="AC964" s="310" t="e">
        <f t="shared" ca="1" si="431"/>
        <v>#N/A</v>
      </c>
      <c r="AD964" s="323" t="e">
        <f t="shared" ca="1" si="432"/>
        <v>#N/A</v>
      </c>
      <c r="AE964" s="324" t="e">
        <f t="shared" ref="AE964:AE1004" ca="1" si="440">IF(t&lt;T_para, pos_z, NA())</f>
        <v>#N/A</v>
      </c>
      <c r="AG964" s="306">
        <f t="shared" ca="1" si="433"/>
        <v>1.0806362295097749</v>
      </c>
      <c r="AH964" s="304">
        <f t="shared" ca="1" si="434"/>
        <v>-8.7181062342683244</v>
      </c>
    </row>
    <row r="965" spans="1:34" x14ac:dyDescent="0.25">
      <c r="A965" s="347">
        <f t="shared" ref="A965:A1004" ca="1" si="441">IF(B964+0.01&lt;=T_ini+ROUNDUP(Temps_fin_propu,0), 0.01, IF(K964&gt;0, 0.1, 0.0001))</f>
        <v>1E-4</v>
      </c>
      <c r="B965" s="304">
        <f t="shared" ref="B965:B1004" ca="1" si="442">B964+pas</f>
        <v>42.908200000000548</v>
      </c>
      <c r="D965" s="306">
        <f t="shared" ref="D965:D1004" ca="1" si="443">IF(AND(L964&lt;L_rampe,Poussee&lt;Poids*SIN(M964)),0,(-W964+Poussee)/m*COS(M964)-U964/m*SIN(M964))</f>
        <v>-0.41753974681505523</v>
      </c>
      <c r="E965" s="307">
        <f t="shared" ref="E965:E1004" ca="1" si="444">IF(AND(L964&lt;L_rampe,Poussee&lt;Poids*SIN(M964)),0,(-W964+Poussee)/m*SIN(M964)+U964/m*COS(M964)-Poids/m)</f>
        <v>-1.1018724605938353</v>
      </c>
      <c r="F965" s="304">
        <f t="shared" ref="F965:F1004" ca="1" si="445">SQRT(acc_x^2+acc_z^2)</f>
        <v>1.1783303270244272</v>
      </c>
      <c r="G965" s="306">
        <f t="shared" ref="G965:G1004" ca="1" si="446">G964+acc_x*pas</f>
        <v>6.4605484148746735</v>
      </c>
      <c r="H965" s="307">
        <f t="shared" ref="H965:H1004" ca="1" si="447">H964+acc_z*pas</f>
        <v>-134.74091893495381</v>
      </c>
      <c r="I965" s="304">
        <f t="shared" ref="I965:I1004" ca="1" si="448">SQRT(vit_x^2+vit_z^2)</f>
        <v>134.89571498478642</v>
      </c>
      <c r="J965" s="306">
        <f t="shared" ref="J965:J1004" ca="1" si="449">J964+0.5*(vit_x+G964)*pas*(K964&gt;=0)</f>
        <v>638.40045476391947</v>
      </c>
      <c r="K965" s="307">
        <f t="shared" ref="K965:K1004" ca="1" si="450">K964+0.5*(vit_z+H964)*pas</f>
        <v>-10.689104706877323</v>
      </c>
      <c r="L965" s="304">
        <f t="shared" ca="1" si="435"/>
        <v>638.48993539617663</v>
      </c>
      <c r="M965" s="306">
        <f t="shared" ref="M965:M1004" ca="1" si="451">IF(AND(L964&gt;L_rampe,G965&gt;0),ATAN2(G965,H965),$M$4)</f>
        <v>-1.522885088386803</v>
      </c>
      <c r="N965" s="304">
        <f t="shared" ref="N965:N1004" ca="1" si="452">DEGREES(Beta)</f>
        <v>-87.254888247971152</v>
      </c>
      <c r="P965" s="310">
        <f t="shared" ref="P965:P1004" ca="1" si="453">MATCH(t-pas/2-T_ini,CdP_t)</f>
        <v>23</v>
      </c>
      <c r="Q965" s="304">
        <f t="shared" ref="Q965:Q1004" ca="1" si="454">(INDEX(CdP,2,i_P+1)-INDEX(CdP,2,i_P+0))/(INDEX(CdP,1,i_P+1)-INDEX(CdP,1,i_P+0))*(t-pas/2-T_ini-INDEX(CdP,1,i_P+0))+INDEX(CdP,2,i_P+0)</f>
        <v>0</v>
      </c>
      <c r="R965" s="306">
        <f t="shared" ref="R965:R1004" ca="1" si="455">Poussee/(g*ISP)</f>
        <v>0</v>
      </c>
      <c r="S965" s="307">
        <f t="shared" ref="S965:S1004" ca="1" si="456">S964-Débit*pas</f>
        <v>10.637999999999975</v>
      </c>
      <c r="T965" s="304">
        <f t="shared" ca="1" si="436"/>
        <v>104.35877999999975</v>
      </c>
      <c r="U965" s="311">
        <f t="shared" ca="1" si="437"/>
        <v>0</v>
      </c>
      <c r="V965" s="306">
        <f t="shared" ca="1" si="438"/>
        <v>1.2263101155246938</v>
      </c>
      <c r="W965" s="304">
        <f t="shared" ca="1" si="439"/>
        <v>92.743761227177757</v>
      </c>
      <c r="Y965" s="314" t="str">
        <f t="shared" ref="Y965:Y1003" ca="1" si="457">IF(AND(pos_z&lt;=0,K964&gt;0),"Impact balistique","") &amp; IF(AND(H966&lt;0,vit_z&gt;=0),"Apogée","") &amp; IF(AND(Poussee=0,Q964&gt;0),"Fin de propulsion","") &amp; IF(AND(L966&gt;L_rampe,pos_xz&lt;=L_rampe),"Sortie de rampe","")</f>
        <v/>
      </c>
      <c r="Z965" s="315" t="str">
        <f t="shared" ref="Z965:Z1004" ca="1" si="458">IF(ABS(t-T_para)&lt;pas/2,"Para","")</f>
        <v/>
      </c>
      <c r="AA965" s="316" t="str">
        <f t="shared" ref="AA965:AA1004" ca="1" si="459">IF(ABS(t-T_satellite)&lt;pas/2,"Satellite","")</f>
        <v/>
      </c>
      <c r="AC965" s="310" t="e">
        <f t="shared" ref="AC965:AC1004" ca="1" si="460">IF(ABS(t-ROUND(t,0))&lt;0.001,t,NA())</f>
        <v>#N/A</v>
      </c>
      <c r="AD965" s="323" t="e">
        <f t="shared" ref="AD965:AD1004" ca="1" si="461">IF(ABS(t-ROUND(t,0))&lt;0.001,pos_x,NA())</f>
        <v>#N/A</v>
      </c>
      <c r="AE965" s="324" t="e">
        <f t="shared" ca="1" si="440"/>
        <v>#N/A</v>
      </c>
      <c r="AG965" s="306">
        <f t="shared" ref="AG965:AG1004" ca="1" si="462">IF(AND(L964&lt;L_rampe,Poussee&lt;Poids*SIN(M964)),0,(-W964+Poussee)/m-Poids*SIN(M964)/m)</f>
        <v>1.0806106782728815</v>
      </c>
      <c r="AH965" s="304">
        <f t="shared" ref="AH965:AH1004" ca="1" si="463">IF(AND(L964&lt;L_rampe,Poussee&lt;Poids*SIN(M964)), g*SIN(M964), (-W964+Poussee)/m)</f>
        <v>-8.7181319491468159</v>
      </c>
    </row>
    <row r="966" spans="1:34" x14ac:dyDescent="0.25">
      <c r="A966" s="347">
        <f t="shared" ca="1" si="441"/>
        <v>1E-4</v>
      </c>
      <c r="B966" s="304">
        <f t="shared" ca="1" si="442"/>
        <v>42.908300000000551</v>
      </c>
      <c r="D966" s="306">
        <f t="shared" ca="1" si="443"/>
        <v>-0.4175379453798409</v>
      </c>
      <c r="E966" s="307">
        <f t="shared" ca="1" si="444"/>
        <v>-1.1018466300536716</v>
      </c>
      <c r="F966" s="304">
        <f t="shared" ca="1" si="445"/>
        <v>1.1783055342281354</v>
      </c>
      <c r="G966" s="306">
        <f t="shared" ca="1" si="446"/>
        <v>6.4605066610801352</v>
      </c>
      <c r="H966" s="307">
        <f t="shared" ca="1" si="447"/>
        <v>-134.74102911961683</v>
      </c>
      <c r="I966" s="304">
        <f t="shared" ca="1" si="448"/>
        <v>134.89582304330736</v>
      </c>
      <c r="J966" s="306">
        <f t="shared" ca="1" si="449"/>
        <v>638.40045476391947</v>
      </c>
      <c r="K966" s="307">
        <f t="shared" ca="1" si="450"/>
        <v>-10.702578804280051</v>
      </c>
      <c r="L966" s="304">
        <f t="shared" ca="1" si="435"/>
        <v>638.49016111122728</v>
      </c>
      <c r="M966" s="306">
        <f t="shared" ca="1" si="451"/>
        <v>-1.5228854366773892</v>
      </c>
      <c r="N966" s="304">
        <f t="shared" ca="1" si="452"/>
        <v>-87.254908203551778</v>
      </c>
      <c r="P966" s="310">
        <f t="shared" ca="1" si="453"/>
        <v>23</v>
      </c>
      <c r="Q966" s="304">
        <f t="shared" ca="1" si="454"/>
        <v>0</v>
      </c>
      <c r="R966" s="306">
        <f t="shared" ca="1" si="455"/>
        <v>0</v>
      </c>
      <c r="S966" s="307">
        <f t="shared" ca="1" si="456"/>
        <v>10.637999999999975</v>
      </c>
      <c r="T966" s="304">
        <f t="shared" ca="1" si="436"/>
        <v>104.35877999999975</v>
      </c>
      <c r="U966" s="311">
        <f t="shared" ca="1" si="437"/>
        <v>0</v>
      </c>
      <c r="V966" s="306">
        <f t="shared" ca="1" si="438"/>
        <v>1.2263117678684738</v>
      </c>
      <c r="W966" s="304">
        <f t="shared" ca="1" si="439"/>
        <v>92.744034776608601</v>
      </c>
      <c r="Y966" s="314" t="str">
        <f t="shared" ca="1" si="457"/>
        <v/>
      </c>
      <c r="Z966" s="315" t="str">
        <f t="shared" ca="1" si="458"/>
        <v/>
      </c>
      <c r="AA966" s="316" t="str">
        <f t="shared" ca="1" si="459"/>
        <v/>
      </c>
      <c r="AC966" s="310" t="e">
        <f t="shared" ca="1" si="460"/>
        <v>#N/A</v>
      </c>
      <c r="AD966" s="323" t="e">
        <f t="shared" ca="1" si="461"/>
        <v>#N/A</v>
      </c>
      <c r="AE966" s="324" t="e">
        <f t="shared" ca="1" si="440"/>
        <v>#N/A</v>
      </c>
      <c r="AG966" s="306">
        <f t="shared" ca="1" si="462"/>
        <v>1.0805851272894724</v>
      </c>
      <c r="AH966" s="304">
        <f t="shared" ca="1" si="463"/>
        <v>-8.7181576637693148</v>
      </c>
    </row>
    <row r="967" spans="1:34" x14ac:dyDescent="0.25">
      <c r="A967" s="347">
        <f t="shared" ca="1" si="441"/>
        <v>1E-4</v>
      </c>
      <c r="B967" s="304">
        <f t="shared" ca="1" si="442"/>
        <v>42.908400000000555</v>
      </c>
      <c r="D967" s="306">
        <f t="shared" ca="1" si="443"/>
        <v>-0.41753614393888372</v>
      </c>
      <c r="E967" s="307">
        <f t="shared" ca="1" si="444"/>
        <v>-1.1018207997705805</v>
      </c>
      <c r="F967" s="304">
        <f t="shared" ca="1" si="445"/>
        <v>1.1782807417175389</v>
      </c>
      <c r="G967" s="306">
        <f t="shared" ca="1" si="446"/>
        <v>6.4604649074657416</v>
      </c>
      <c r="H967" s="307">
        <f t="shared" ca="1" si="447"/>
        <v>-134.74113930169679</v>
      </c>
      <c r="I967" s="304">
        <f t="shared" ca="1" si="448"/>
        <v>134.89593109927318</v>
      </c>
      <c r="J967" s="306">
        <f t="shared" ca="1" si="449"/>
        <v>638.40045476391947</v>
      </c>
      <c r="K967" s="307">
        <f t="shared" ca="1" si="450"/>
        <v>-10.716052912701118</v>
      </c>
      <c r="L967" s="304">
        <f t="shared" ca="1" si="435"/>
        <v>638.49038711072774</v>
      </c>
      <c r="M967" s="306">
        <f t="shared" ca="1" si="451"/>
        <v>-1.5228857849651665</v>
      </c>
      <c r="N967" s="304">
        <f t="shared" ca="1" si="452"/>
        <v>-87.254928158971481</v>
      </c>
      <c r="P967" s="310">
        <f t="shared" ca="1" si="453"/>
        <v>23</v>
      </c>
      <c r="Q967" s="304">
        <f t="shared" ca="1" si="454"/>
        <v>0</v>
      </c>
      <c r="R967" s="306">
        <f t="shared" ca="1" si="455"/>
        <v>0</v>
      </c>
      <c r="S967" s="307">
        <f t="shared" ca="1" si="456"/>
        <v>10.637999999999975</v>
      </c>
      <c r="T967" s="304">
        <f t="shared" ca="1" si="436"/>
        <v>104.35877999999975</v>
      </c>
      <c r="U967" s="311">
        <f t="shared" ca="1" si="437"/>
        <v>0</v>
      </c>
      <c r="V967" s="306">
        <f t="shared" ca="1" si="438"/>
        <v>1.2263134202158323</v>
      </c>
      <c r="W967" s="304">
        <f t="shared" ca="1" si="439"/>
        <v>92.744308323316147</v>
      </c>
      <c r="Y967" s="314" t="str">
        <f t="shared" ca="1" si="457"/>
        <v/>
      </c>
      <c r="Z967" s="315" t="str">
        <f t="shared" ca="1" si="458"/>
        <v/>
      </c>
      <c r="AA967" s="316" t="str">
        <f t="shared" ca="1" si="459"/>
        <v/>
      </c>
      <c r="AC967" s="310" t="e">
        <f t="shared" ca="1" si="460"/>
        <v>#N/A</v>
      </c>
      <c r="AD967" s="323" t="e">
        <f t="shared" ca="1" si="461"/>
        <v>#N/A</v>
      </c>
      <c r="AE967" s="324" t="e">
        <f t="shared" ca="1" si="440"/>
        <v>#N/A</v>
      </c>
      <c r="AG967" s="306">
        <f t="shared" ca="1" si="462"/>
        <v>1.0805595765595513</v>
      </c>
      <c r="AH967" s="304">
        <f t="shared" ca="1" si="463"/>
        <v>-8.7181833781358176</v>
      </c>
    </row>
    <row r="968" spans="1:34" x14ac:dyDescent="0.25">
      <c r="A968" s="347">
        <f t="shared" ca="1" si="441"/>
        <v>1E-4</v>
      </c>
      <c r="B968" s="304">
        <f t="shared" ca="1" si="442"/>
        <v>42.908500000000558</v>
      </c>
      <c r="D968" s="306">
        <f t="shared" ca="1" si="443"/>
        <v>-0.41753434249218402</v>
      </c>
      <c r="E968" s="307">
        <f t="shared" ca="1" si="444"/>
        <v>-1.1017949697445673</v>
      </c>
      <c r="F968" s="304">
        <f t="shared" ca="1" si="445"/>
        <v>1.1782559494926441</v>
      </c>
      <c r="G968" s="306">
        <f t="shared" ca="1" si="446"/>
        <v>6.460423154031492</v>
      </c>
      <c r="H968" s="307">
        <f t="shared" ca="1" si="447"/>
        <v>-134.74124948119376</v>
      </c>
      <c r="I968" s="304">
        <f t="shared" ca="1" si="448"/>
        <v>134.89603915268398</v>
      </c>
      <c r="J968" s="306">
        <f t="shared" ca="1" si="449"/>
        <v>638.40045476391947</v>
      </c>
      <c r="K968" s="307">
        <f t="shared" ca="1" si="450"/>
        <v>-10.729527032140263</v>
      </c>
      <c r="L968" s="304">
        <f t="shared" ca="1" si="435"/>
        <v>638.49061339467835</v>
      </c>
      <c r="M968" s="306">
        <f t="shared" ca="1" si="451"/>
        <v>-1.5228861332501347</v>
      </c>
      <c r="N968" s="304">
        <f t="shared" ca="1" si="452"/>
        <v>-87.254948114230217</v>
      </c>
      <c r="P968" s="310">
        <f t="shared" ca="1" si="453"/>
        <v>23</v>
      </c>
      <c r="Q968" s="304">
        <f t="shared" ca="1" si="454"/>
        <v>0</v>
      </c>
      <c r="R968" s="306">
        <f t="shared" ca="1" si="455"/>
        <v>0</v>
      </c>
      <c r="S968" s="307">
        <f t="shared" ca="1" si="456"/>
        <v>10.637999999999975</v>
      </c>
      <c r="T968" s="304">
        <f t="shared" ca="1" si="436"/>
        <v>104.35877999999975</v>
      </c>
      <c r="U968" s="311">
        <f t="shared" ca="1" si="437"/>
        <v>0</v>
      </c>
      <c r="V968" s="306">
        <f t="shared" ca="1" si="438"/>
        <v>1.2263150725667702</v>
      </c>
      <c r="W968" s="304">
        <f t="shared" ca="1" si="439"/>
        <v>92.744581867300496</v>
      </c>
      <c r="Y968" s="314" t="str">
        <f t="shared" ca="1" si="457"/>
        <v/>
      </c>
      <c r="Z968" s="315" t="str">
        <f t="shared" ca="1" si="458"/>
        <v/>
      </c>
      <c r="AA968" s="316" t="str">
        <f t="shared" ca="1" si="459"/>
        <v/>
      </c>
      <c r="AC968" s="310" t="e">
        <f t="shared" ca="1" si="460"/>
        <v>#N/A</v>
      </c>
      <c r="AD968" s="323" t="e">
        <f t="shared" ca="1" si="461"/>
        <v>#N/A</v>
      </c>
      <c r="AE968" s="324" t="e">
        <f t="shared" ca="1" si="440"/>
        <v>#N/A</v>
      </c>
      <c r="AG968" s="306">
        <f t="shared" ca="1" si="462"/>
        <v>1.0805340260831198</v>
      </c>
      <c r="AH968" s="304">
        <f t="shared" ca="1" si="463"/>
        <v>-8.7182090922463207</v>
      </c>
    </row>
    <row r="969" spans="1:34" x14ac:dyDescent="0.25">
      <c r="A969" s="347">
        <f t="shared" ca="1" si="441"/>
        <v>1E-4</v>
      </c>
      <c r="B969" s="304">
        <f t="shared" ca="1" si="442"/>
        <v>42.908600000000561</v>
      </c>
      <c r="D969" s="306">
        <f t="shared" ca="1" si="443"/>
        <v>-0.41753254103974502</v>
      </c>
      <c r="E969" s="307">
        <f t="shared" ca="1" si="444"/>
        <v>-1.101769139975616</v>
      </c>
      <c r="F969" s="304">
        <f t="shared" ca="1" si="445"/>
        <v>1.1782311575534381</v>
      </c>
      <c r="G969" s="306">
        <f t="shared" ca="1" si="446"/>
        <v>6.4603814007773881</v>
      </c>
      <c r="H969" s="307">
        <f t="shared" ca="1" si="447"/>
        <v>-134.74135965810777</v>
      </c>
      <c r="I969" s="304">
        <f t="shared" ca="1" si="448"/>
        <v>134.89614720353973</v>
      </c>
      <c r="J969" s="306">
        <f t="shared" ca="1" si="449"/>
        <v>638.40045476391947</v>
      </c>
      <c r="K969" s="307">
        <f t="shared" ca="1" si="450"/>
        <v>-10.743001162597228</v>
      </c>
      <c r="L969" s="304">
        <f t="shared" ca="1" si="435"/>
        <v>638.49083996307945</v>
      </c>
      <c r="M969" s="306">
        <f t="shared" ca="1" si="451"/>
        <v>-1.522886481532294</v>
      </c>
      <c r="N969" s="304">
        <f t="shared" ca="1" si="452"/>
        <v>-87.254968069328029</v>
      </c>
      <c r="P969" s="310">
        <f t="shared" ca="1" si="453"/>
        <v>23</v>
      </c>
      <c r="Q969" s="304">
        <f t="shared" ca="1" si="454"/>
        <v>0</v>
      </c>
      <c r="R969" s="306">
        <f t="shared" ca="1" si="455"/>
        <v>0</v>
      </c>
      <c r="S969" s="307">
        <f t="shared" ca="1" si="456"/>
        <v>10.637999999999975</v>
      </c>
      <c r="T969" s="304">
        <f t="shared" ca="1" si="436"/>
        <v>104.35877999999975</v>
      </c>
      <c r="U969" s="311">
        <f t="shared" ca="1" si="437"/>
        <v>0</v>
      </c>
      <c r="V969" s="306">
        <f t="shared" ca="1" si="438"/>
        <v>1.2263167249212865</v>
      </c>
      <c r="W969" s="304">
        <f t="shared" ca="1" si="439"/>
        <v>92.744855408561548</v>
      </c>
      <c r="Y969" s="314" t="str">
        <f t="shared" ca="1" si="457"/>
        <v/>
      </c>
      <c r="Z969" s="315" t="str">
        <f t="shared" ca="1" si="458"/>
        <v/>
      </c>
      <c r="AA969" s="316" t="str">
        <f t="shared" ca="1" si="459"/>
        <v/>
      </c>
      <c r="AC969" s="310" t="e">
        <f t="shared" ca="1" si="460"/>
        <v>#N/A</v>
      </c>
      <c r="AD969" s="323" t="e">
        <f t="shared" ca="1" si="461"/>
        <v>#N/A</v>
      </c>
      <c r="AE969" s="324" t="e">
        <f t="shared" ca="1" si="440"/>
        <v>#N/A</v>
      </c>
      <c r="AG969" s="306">
        <f t="shared" ca="1" si="462"/>
        <v>1.0805084758601673</v>
      </c>
      <c r="AH969" s="304">
        <f t="shared" ca="1" si="463"/>
        <v>-8.7182348061008383</v>
      </c>
    </row>
    <row r="970" spans="1:34" x14ac:dyDescent="0.25">
      <c r="A970" s="347">
        <f t="shared" ca="1" si="441"/>
        <v>1E-4</v>
      </c>
      <c r="B970" s="304">
        <f t="shared" ca="1" si="442"/>
        <v>42.908700000000565</v>
      </c>
      <c r="D970" s="306">
        <f t="shared" ca="1" si="443"/>
        <v>-0.41753073958156461</v>
      </c>
      <c r="E970" s="307">
        <f t="shared" ca="1" si="444"/>
        <v>-1.1017433104637426</v>
      </c>
      <c r="F970" s="304">
        <f t="shared" ca="1" si="445"/>
        <v>1.1782063658999364</v>
      </c>
      <c r="G970" s="306">
        <f t="shared" ca="1" si="446"/>
        <v>6.4603396477034298</v>
      </c>
      <c r="H970" s="307">
        <f t="shared" ca="1" si="447"/>
        <v>-134.74146983243881</v>
      </c>
      <c r="I970" s="304">
        <f t="shared" ca="1" si="448"/>
        <v>134.8962552518405</v>
      </c>
      <c r="J970" s="306">
        <f t="shared" ca="1" si="449"/>
        <v>638.40045476391947</v>
      </c>
      <c r="K970" s="307">
        <f t="shared" ca="1" si="450"/>
        <v>-10.756475304071754</v>
      </c>
      <c r="L970" s="304">
        <f t="shared" ca="1" si="435"/>
        <v>638.4910668159315</v>
      </c>
      <c r="M970" s="306">
        <f t="shared" ca="1" si="451"/>
        <v>-1.5228868298116445</v>
      </c>
      <c r="N970" s="304">
        <f t="shared" ca="1" si="452"/>
        <v>-87.254988024264904</v>
      </c>
      <c r="P970" s="310">
        <f t="shared" ca="1" si="453"/>
        <v>23</v>
      </c>
      <c r="Q970" s="304">
        <f t="shared" ca="1" si="454"/>
        <v>0</v>
      </c>
      <c r="R970" s="306">
        <f t="shared" ca="1" si="455"/>
        <v>0</v>
      </c>
      <c r="S970" s="307">
        <f t="shared" ca="1" si="456"/>
        <v>10.637999999999975</v>
      </c>
      <c r="T970" s="304">
        <f t="shared" ca="1" si="436"/>
        <v>104.35877999999975</v>
      </c>
      <c r="U970" s="311">
        <f t="shared" ca="1" si="437"/>
        <v>0</v>
      </c>
      <c r="V970" s="306">
        <f t="shared" ca="1" si="438"/>
        <v>1.2263183772793811</v>
      </c>
      <c r="W970" s="304">
        <f t="shared" ca="1" si="439"/>
        <v>92.745128947099388</v>
      </c>
      <c r="Y970" s="314" t="str">
        <f t="shared" ca="1" si="457"/>
        <v/>
      </c>
      <c r="Z970" s="315" t="str">
        <f t="shared" ca="1" si="458"/>
        <v/>
      </c>
      <c r="AA970" s="316" t="str">
        <f t="shared" ca="1" si="459"/>
        <v/>
      </c>
      <c r="AC970" s="310" t="e">
        <f t="shared" ca="1" si="460"/>
        <v>#N/A</v>
      </c>
      <c r="AD970" s="323" t="e">
        <f t="shared" ca="1" si="461"/>
        <v>#N/A</v>
      </c>
      <c r="AE970" s="324" t="e">
        <f t="shared" ca="1" si="440"/>
        <v>#N/A</v>
      </c>
      <c r="AG970" s="306">
        <f t="shared" ca="1" si="462"/>
        <v>1.0804829258907045</v>
      </c>
      <c r="AH970" s="304">
        <f t="shared" ca="1" si="463"/>
        <v>-8.7182605196993581</v>
      </c>
    </row>
    <row r="971" spans="1:34" x14ac:dyDescent="0.25">
      <c r="A971" s="347">
        <f t="shared" ca="1" si="441"/>
        <v>1E-4</v>
      </c>
      <c r="B971" s="304">
        <f t="shared" ca="1" si="442"/>
        <v>42.908800000000568</v>
      </c>
      <c r="D971" s="306">
        <f t="shared" ca="1" si="443"/>
        <v>-0.41752893811764369</v>
      </c>
      <c r="E971" s="307">
        <f t="shared" ca="1" si="444"/>
        <v>-1.101717481208933</v>
      </c>
      <c r="F971" s="304">
        <f t="shared" ca="1" si="445"/>
        <v>1.1781815745321274</v>
      </c>
      <c r="G971" s="306">
        <f t="shared" ca="1" si="446"/>
        <v>6.4602978948096181</v>
      </c>
      <c r="H971" s="307">
        <f t="shared" ca="1" si="447"/>
        <v>-134.74158000418694</v>
      </c>
      <c r="I971" s="304">
        <f t="shared" ca="1" si="448"/>
        <v>134.8963632975863</v>
      </c>
      <c r="J971" s="306">
        <f t="shared" ca="1" si="449"/>
        <v>638.40045476391947</v>
      </c>
      <c r="K971" s="307">
        <f t="shared" ca="1" si="450"/>
        <v>-10.769949456563586</v>
      </c>
      <c r="L971" s="304">
        <f t="shared" ca="1" si="435"/>
        <v>638.49129395323484</v>
      </c>
      <c r="M971" s="306">
        <f t="shared" ca="1" si="451"/>
        <v>-1.5228871780881863</v>
      </c>
      <c r="N971" s="304">
        <f t="shared" ca="1" si="452"/>
        <v>-87.255007979040855</v>
      </c>
      <c r="P971" s="310">
        <f t="shared" ca="1" si="453"/>
        <v>23</v>
      </c>
      <c r="Q971" s="304">
        <f t="shared" ca="1" si="454"/>
        <v>0</v>
      </c>
      <c r="R971" s="306">
        <f t="shared" ca="1" si="455"/>
        <v>0</v>
      </c>
      <c r="S971" s="307">
        <f t="shared" ca="1" si="456"/>
        <v>10.637999999999975</v>
      </c>
      <c r="T971" s="304">
        <f t="shared" ca="1" si="436"/>
        <v>104.35877999999975</v>
      </c>
      <c r="U971" s="311">
        <f t="shared" ca="1" si="437"/>
        <v>0</v>
      </c>
      <c r="V971" s="306">
        <f t="shared" ca="1" si="438"/>
        <v>1.226320029641055</v>
      </c>
      <c r="W971" s="304">
        <f t="shared" ca="1" si="439"/>
        <v>92.745402482914088</v>
      </c>
      <c r="Y971" s="314" t="str">
        <f t="shared" ca="1" si="457"/>
        <v/>
      </c>
      <c r="Z971" s="315" t="str">
        <f t="shared" ca="1" si="458"/>
        <v/>
      </c>
      <c r="AA971" s="316" t="str">
        <f t="shared" ca="1" si="459"/>
        <v/>
      </c>
      <c r="AC971" s="310" t="e">
        <f t="shared" ca="1" si="460"/>
        <v>#N/A</v>
      </c>
      <c r="AD971" s="323" t="e">
        <f t="shared" ca="1" si="461"/>
        <v>#N/A</v>
      </c>
      <c r="AE971" s="324" t="e">
        <f t="shared" ca="1" si="440"/>
        <v>#N/A</v>
      </c>
      <c r="AG971" s="306">
        <f t="shared" ca="1" si="462"/>
        <v>1.0804573761747207</v>
      </c>
      <c r="AH971" s="304">
        <f t="shared" ca="1" si="463"/>
        <v>-8.7182862330418889</v>
      </c>
    </row>
    <row r="972" spans="1:34" x14ac:dyDescent="0.25">
      <c r="A972" s="347">
        <f t="shared" ca="1" si="441"/>
        <v>1E-4</v>
      </c>
      <c r="B972" s="304">
        <f t="shared" ca="1" si="442"/>
        <v>42.908900000000571</v>
      </c>
      <c r="D972" s="306">
        <f t="shared" ca="1" si="443"/>
        <v>-0.41752713664798108</v>
      </c>
      <c r="E972" s="307">
        <f t="shared" ca="1" si="444"/>
        <v>-1.101691652211187</v>
      </c>
      <c r="F972" s="304">
        <f t="shared" ca="1" si="445"/>
        <v>1.1781567834500113</v>
      </c>
      <c r="G972" s="306">
        <f t="shared" ca="1" si="446"/>
        <v>6.460256142095953</v>
      </c>
      <c r="H972" s="307">
        <f t="shared" ca="1" si="447"/>
        <v>-134.74169017335217</v>
      </c>
      <c r="I972" s="304">
        <f t="shared" ca="1" si="448"/>
        <v>134.89647134077717</v>
      </c>
      <c r="J972" s="306">
        <f t="shared" ca="1" si="449"/>
        <v>638.40045476391947</v>
      </c>
      <c r="K972" s="307">
        <f t="shared" ca="1" si="450"/>
        <v>-10.783423620072462</v>
      </c>
      <c r="L972" s="304">
        <f t="shared" ca="1" si="435"/>
        <v>638.49152137498982</v>
      </c>
      <c r="M972" s="306">
        <f t="shared" ca="1" si="451"/>
        <v>-1.5228875263619193</v>
      </c>
      <c r="N972" s="304">
        <f t="shared" ca="1" si="452"/>
        <v>-87.255027933655867</v>
      </c>
      <c r="P972" s="310">
        <f t="shared" ca="1" si="453"/>
        <v>23</v>
      </c>
      <c r="Q972" s="304">
        <f t="shared" ca="1" si="454"/>
        <v>0</v>
      </c>
      <c r="R972" s="306">
        <f t="shared" ca="1" si="455"/>
        <v>0</v>
      </c>
      <c r="S972" s="307">
        <f t="shared" ca="1" si="456"/>
        <v>10.637999999999975</v>
      </c>
      <c r="T972" s="304">
        <f t="shared" ca="1" si="436"/>
        <v>104.35877999999975</v>
      </c>
      <c r="U972" s="311">
        <f t="shared" ca="1" si="437"/>
        <v>0</v>
      </c>
      <c r="V972" s="306">
        <f t="shared" ca="1" si="438"/>
        <v>1.2263216820063072</v>
      </c>
      <c r="W972" s="304">
        <f t="shared" ca="1" si="439"/>
        <v>92.745676016005532</v>
      </c>
      <c r="Y972" s="314" t="str">
        <f t="shared" ca="1" si="457"/>
        <v/>
      </c>
      <c r="Z972" s="315" t="str">
        <f t="shared" ca="1" si="458"/>
        <v/>
      </c>
      <c r="AA972" s="316" t="str">
        <f t="shared" ca="1" si="459"/>
        <v/>
      </c>
      <c r="AC972" s="310" t="e">
        <f t="shared" ca="1" si="460"/>
        <v>#N/A</v>
      </c>
      <c r="AD972" s="323" t="e">
        <f t="shared" ca="1" si="461"/>
        <v>#N/A</v>
      </c>
      <c r="AE972" s="324" t="e">
        <f t="shared" ca="1" si="440"/>
        <v>#N/A</v>
      </c>
      <c r="AG972" s="306">
        <f t="shared" ca="1" si="462"/>
        <v>1.0804318267122124</v>
      </c>
      <c r="AH972" s="304">
        <f t="shared" ca="1" si="463"/>
        <v>-8.718311946128436</v>
      </c>
    </row>
    <row r="973" spans="1:34" x14ac:dyDescent="0.25">
      <c r="A973" s="347">
        <f t="shared" ca="1" si="441"/>
        <v>1E-4</v>
      </c>
      <c r="B973" s="304">
        <f t="shared" ca="1" si="442"/>
        <v>42.909000000000574</v>
      </c>
      <c r="D973" s="306">
        <f t="shared" ca="1" si="443"/>
        <v>-0.41752533517257878</v>
      </c>
      <c r="E973" s="307">
        <f t="shared" ca="1" si="444"/>
        <v>-1.1016658234705101</v>
      </c>
      <c r="F973" s="304">
        <f t="shared" ca="1" si="445"/>
        <v>1.1781319926535954</v>
      </c>
      <c r="G973" s="306">
        <f t="shared" ca="1" si="446"/>
        <v>6.4602143895624353</v>
      </c>
      <c r="H973" s="307">
        <f t="shared" ca="1" si="447"/>
        <v>-134.74180033993451</v>
      </c>
      <c r="I973" s="304">
        <f t="shared" ca="1" si="448"/>
        <v>134.89657938141312</v>
      </c>
      <c r="J973" s="306">
        <f t="shared" ca="1" si="449"/>
        <v>638.40045476391947</v>
      </c>
      <c r="K973" s="307">
        <f t="shared" ca="1" si="450"/>
        <v>-10.796897794598125</v>
      </c>
      <c r="L973" s="304">
        <f t="shared" ca="1" si="435"/>
        <v>638.49174908119699</v>
      </c>
      <c r="M973" s="306">
        <f t="shared" ca="1" si="451"/>
        <v>-1.5228878746328434</v>
      </c>
      <c r="N973" s="304">
        <f t="shared" ca="1" si="452"/>
        <v>-87.255047888109942</v>
      </c>
      <c r="P973" s="310">
        <f t="shared" ca="1" si="453"/>
        <v>23</v>
      </c>
      <c r="Q973" s="304">
        <f t="shared" ca="1" si="454"/>
        <v>0</v>
      </c>
      <c r="R973" s="306">
        <f t="shared" ca="1" si="455"/>
        <v>0</v>
      </c>
      <c r="S973" s="307">
        <f t="shared" ca="1" si="456"/>
        <v>10.637999999999975</v>
      </c>
      <c r="T973" s="304">
        <f t="shared" ca="1" si="436"/>
        <v>104.35877999999975</v>
      </c>
      <c r="U973" s="311">
        <f t="shared" ca="1" si="437"/>
        <v>0</v>
      </c>
      <c r="V973" s="306">
        <f t="shared" ca="1" si="438"/>
        <v>1.2263233343751381</v>
      </c>
      <c r="W973" s="304">
        <f t="shared" ca="1" si="439"/>
        <v>92.745949546373836</v>
      </c>
      <c r="Y973" s="314" t="str">
        <f t="shared" ca="1" si="457"/>
        <v/>
      </c>
      <c r="Z973" s="315" t="str">
        <f t="shared" ca="1" si="458"/>
        <v/>
      </c>
      <c r="AA973" s="316" t="str">
        <f t="shared" ca="1" si="459"/>
        <v/>
      </c>
      <c r="AC973" s="310" t="e">
        <f t="shared" ca="1" si="460"/>
        <v>#N/A</v>
      </c>
      <c r="AD973" s="323" t="e">
        <f t="shared" ca="1" si="461"/>
        <v>#N/A</v>
      </c>
      <c r="AE973" s="324" t="e">
        <f t="shared" ca="1" si="440"/>
        <v>#N/A</v>
      </c>
      <c r="AG973" s="306">
        <f t="shared" ca="1" si="462"/>
        <v>1.080406277503192</v>
      </c>
      <c r="AH973" s="304">
        <f t="shared" ca="1" si="463"/>
        <v>-8.7183376589589905</v>
      </c>
    </row>
    <row r="974" spans="1:34" x14ac:dyDescent="0.25">
      <c r="A974" s="347">
        <f t="shared" ca="1" si="441"/>
        <v>1E-4</v>
      </c>
      <c r="B974" s="304">
        <f t="shared" ca="1" si="442"/>
        <v>42.909100000000578</v>
      </c>
      <c r="D974" s="306">
        <f t="shared" ca="1" si="443"/>
        <v>-0.41752353369143785</v>
      </c>
      <c r="E974" s="307">
        <f t="shared" ca="1" si="444"/>
        <v>-1.1016399949868916</v>
      </c>
      <c r="F974" s="304">
        <f t="shared" ca="1" si="445"/>
        <v>1.1781072021428711</v>
      </c>
      <c r="G974" s="306">
        <f t="shared" ca="1" si="446"/>
        <v>6.460172637209066</v>
      </c>
      <c r="H974" s="307">
        <f t="shared" ca="1" si="447"/>
        <v>-134.74191050393401</v>
      </c>
      <c r="I974" s="304">
        <f t="shared" ca="1" si="448"/>
        <v>134.89668741949413</v>
      </c>
      <c r="J974" s="306">
        <f t="shared" ca="1" si="449"/>
        <v>638.40045476391947</v>
      </c>
      <c r="K974" s="307">
        <f t="shared" ca="1" si="450"/>
        <v>-10.810371980140319</v>
      </c>
      <c r="L974" s="304">
        <f t="shared" ca="1" si="435"/>
        <v>638.49197707185658</v>
      </c>
      <c r="M974" s="306">
        <f t="shared" ca="1" si="451"/>
        <v>-1.5228882229009588</v>
      </c>
      <c r="N974" s="304">
        <f t="shared" ca="1" si="452"/>
        <v>-87.255067842403108</v>
      </c>
      <c r="P974" s="310">
        <f t="shared" ca="1" si="453"/>
        <v>23</v>
      </c>
      <c r="Q974" s="304">
        <f t="shared" ca="1" si="454"/>
        <v>0</v>
      </c>
      <c r="R974" s="306">
        <f t="shared" ca="1" si="455"/>
        <v>0</v>
      </c>
      <c r="S974" s="307">
        <f t="shared" ca="1" si="456"/>
        <v>10.637999999999975</v>
      </c>
      <c r="T974" s="304">
        <f t="shared" ca="1" si="436"/>
        <v>104.35877999999975</v>
      </c>
      <c r="U974" s="311">
        <f t="shared" ca="1" si="437"/>
        <v>0</v>
      </c>
      <c r="V974" s="306">
        <f t="shared" ca="1" si="438"/>
        <v>1.2263249867475479</v>
      </c>
      <c r="W974" s="304">
        <f t="shared" ca="1" si="439"/>
        <v>92.7462230740189</v>
      </c>
      <c r="Y974" s="314" t="str">
        <f t="shared" ca="1" si="457"/>
        <v/>
      </c>
      <c r="Z974" s="315" t="str">
        <f t="shared" ca="1" si="458"/>
        <v/>
      </c>
      <c r="AA974" s="316" t="str">
        <f t="shared" ca="1" si="459"/>
        <v/>
      </c>
      <c r="AC974" s="310" t="e">
        <f t="shared" ca="1" si="460"/>
        <v>#N/A</v>
      </c>
      <c r="AD974" s="323" t="e">
        <f t="shared" ca="1" si="461"/>
        <v>#N/A</v>
      </c>
      <c r="AE974" s="324" t="e">
        <f t="shared" ca="1" si="440"/>
        <v>#N/A</v>
      </c>
      <c r="AG974" s="306">
        <f t="shared" ca="1" si="462"/>
        <v>1.0803807285476399</v>
      </c>
      <c r="AH974" s="304">
        <f t="shared" ca="1" si="463"/>
        <v>-8.7183633715335649</v>
      </c>
    </row>
    <row r="975" spans="1:34" x14ac:dyDescent="0.25">
      <c r="A975" s="347">
        <f t="shared" ca="1" si="441"/>
        <v>1E-4</v>
      </c>
      <c r="B975" s="304">
        <f t="shared" ca="1" si="442"/>
        <v>42.909200000000581</v>
      </c>
      <c r="D975" s="306">
        <f t="shared" ca="1" si="443"/>
        <v>-0.41752173220455618</v>
      </c>
      <c r="E975" s="307">
        <f t="shared" ca="1" si="444"/>
        <v>-1.1016141667603438</v>
      </c>
      <c r="F975" s="304">
        <f t="shared" ca="1" si="445"/>
        <v>1.1780824119178503</v>
      </c>
      <c r="G975" s="306">
        <f t="shared" ca="1" si="446"/>
        <v>6.4601308850358459</v>
      </c>
      <c r="H975" s="307">
        <f t="shared" ca="1" si="447"/>
        <v>-134.74202066535068</v>
      </c>
      <c r="I975" s="304">
        <f t="shared" ca="1" si="448"/>
        <v>134.89679545502028</v>
      </c>
      <c r="J975" s="306">
        <f t="shared" ca="1" si="449"/>
        <v>638.40045476391947</v>
      </c>
      <c r="K975" s="307">
        <f t="shared" ca="1" si="450"/>
        <v>-10.823846176698783</v>
      </c>
      <c r="L975" s="304">
        <f t="shared" ca="1" si="435"/>
        <v>638.49220534696894</v>
      </c>
      <c r="M975" s="306">
        <f t="shared" ca="1" si="451"/>
        <v>-1.5228885711662654</v>
      </c>
      <c r="N975" s="304">
        <f t="shared" ca="1" si="452"/>
        <v>-87.255087796535321</v>
      </c>
      <c r="P975" s="310">
        <f t="shared" ca="1" si="453"/>
        <v>23</v>
      </c>
      <c r="Q975" s="304">
        <f t="shared" ca="1" si="454"/>
        <v>0</v>
      </c>
      <c r="R975" s="306">
        <f t="shared" ca="1" si="455"/>
        <v>0</v>
      </c>
      <c r="S975" s="307">
        <f t="shared" ca="1" si="456"/>
        <v>10.637999999999975</v>
      </c>
      <c r="T975" s="304">
        <f t="shared" ca="1" si="436"/>
        <v>104.35877999999975</v>
      </c>
      <c r="U975" s="311">
        <f t="shared" ca="1" si="437"/>
        <v>0</v>
      </c>
      <c r="V975" s="306">
        <f t="shared" ca="1" si="438"/>
        <v>1.2263266391235361</v>
      </c>
      <c r="W975" s="304">
        <f t="shared" ca="1" si="439"/>
        <v>92.746496598940837</v>
      </c>
      <c r="Y975" s="314" t="str">
        <f t="shared" ca="1" si="457"/>
        <v/>
      </c>
      <c r="Z975" s="315" t="str">
        <f t="shared" ca="1" si="458"/>
        <v/>
      </c>
      <c r="AA975" s="316" t="str">
        <f t="shared" ca="1" si="459"/>
        <v/>
      </c>
      <c r="AC975" s="310" t="e">
        <f t="shared" ca="1" si="460"/>
        <v>#N/A</v>
      </c>
      <c r="AD975" s="323" t="e">
        <f t="shared" ca="1" si="461"/>
        <v>#N/A</v>
      </c>
      <c r="AE975" s="324" t="e">
        <f t="shared" ca="1" si="440"/>
        <v>#N/A</v>
      </c>
      <c r="AG975" s="306">
        <f t="shared" ca="1" si="462"/>
        <v>1.0803551798455757</v>
      </c>
      <c r="AH975" s="304">
        <f t="shared" ca="1" si="463"/>
        <v>-8.7183890838521449</v>
      </c>
    </row>
    <row r="976" spans="1:34" x14ac:dyDescent="0.25">
      <c r="A976" s="347">
        <f t="shared" ca="1" si="441"/>
        <v>1E-4</v>
      </c>
      <c r="B976" s="304">
        <f t="shared" ca="1" si="442"/>
        <v>42.909300000000584</v>
      </c>
      <c r="D976" s="306">
        <f t="shared" ca="1" si="443"/>
        <v>-0.41751993071193683</v>
      </c>
      <c r="E976" s="307">
        <f t="shared" ca="1" si="444"/>
        <v>-1.1015883387908545</v>
      </c>
      <c r="F976" s="304">
        <f t="shared" ca="1" si="445"/>
        <v>1.1780576219785239</v>
      </c>
      <c r="G976" s="306">
        <f t="shared" ca="1" si="446"/>
        <v>6.460089133042775</v>
      </c>
      <c r="H976" s="307">
        <f t="shared" ca="1" si="447"/>
        <v>-134.74213082418456</v>
      </c>
      <c r="I976" s="304">
        <f t="shared" ca="1" si="448"/>
        <v>134.89690348799161</v>
      </c>
      <c r="J976" s="306">
        <f t="shared" ca="1" si="449"/>
        <v>638.40045476391947</v>
      </c>
      <c r="K976" s="307">
        <f t="shared" ca="1" si="450"/>
        <v>-10.83732038427326</v>
      </c>
      <c r="L976" s="304">
        <f t="shared" ca="1" si="435"/>
        <v>638.49243390653476</v>
      </c>
      <c r="M976" s="306">
        <f t="shared" ca="1" si="451"/>
        <v>-1.5228889194287636</v>
      </c>
      <c r="N976" s="304">
        <f t="shared" ca="1" si="452"/>
        <v>-87.255107750506625</v>
      </c>
      <c r="P976" s="310">
        <f t="shared" ca="1" si="453"/>
        <v>23</v>
      </c>
      <c r="Q976" s="304">
        <f t="shared" ca="1" si="454"/>
        <v>0</v>
      </c>
      <c r="R976" s="306">
        <f t="shared" ca="1" si="455"/>
        <v>0</v>
      </c>
      <c r="S976" s="307">
        <f t="shared" ca="1" si="456"/>
        <v>10.637999999999975</v>
      </c>
      <c r="T976" s="304">
        <f t="shared" ca="1" si="436"/>
        <v>104.35877999999975</v>
      </c>
      <c r="U976" s="311">
        <f t="shared" ca="1" si="437"/>
        <v>0</v>
      </c>
      <c r="V976" s="306">
        <f t="shared" ca="1" si="438"/>
        <v>1.2263282915031029</v>
      </c>
      <c r="W976" s="304">
        <f t="shared" ca="1" si="439"/>
        <v>92.746770121139633</v>
      </c>
      <c r="Y976" s="314" t="str">
        <f t="shared" ca="1" si="457"/>
        <v/>
      </c>
      <c r="Z976" s="315" t="str">
        <f t="shared" ca="1" si="458"/>
        <v/>
      </c>
      <c r="AA976" s="316" t="str">
        <f t="shared" ca="1" si="459"/>
        <v/>
      </c>
      <c r="AC976" s="310" t="e">
        <f t="shared" ca="1" si="460"/>
        <v>#N/A</v>
      </c>
      <c r="AD976" s="323" t="e">
        <f t="shared" ca="1" si="461"/>
        <v>#N/A</v>
      </c>
      <c r="AE976" s="324" t="e">
        <f t="shared" ca="1" si="440"/>
        <v>#N/A</v>
      </c>
      <c r="AG976" s="306">
        <f t="shared" ca="1" si="462"/>
        <v>1.0803296313969835</v>
      </c>
      <c r="AH976" s="304">
        <f t="shared" ca="1" si="463"/>
        <v>-8.7184147959147449</v>
      </c>
    </row>
    <row r="977" spans="1:34" x14ac:dyDescent="0.25">
      <c r="A977" s="347">
        <f t="shared" ca="1" si="441"/>
        <v>1E-4</v>
      </c>
      <c r="B977" s="304">
        <f t="shared" ca="1" si="442"/>
        <v>42.909400000000588</v>
      </c>
      <c r="D977" s="306">
        <f t="shared" ca="1" si="443"/>
        <v>-0.41751812921357639</v>
      </c>
      <c r="E977" s="307">
        <f t="shared" ca="1" si="444"/>
        <v>-1.1015625110784235</v>
      </c>
      <c r="F977" s="304">
        <f t="shared" ca="1" si="445"/>
        <v>1.1780328323248919</v>
      </c>
      <c r="G977" s="306">
        <f t="shared" ca="1" si="446"/>
        <v>6.4600473812298533</v>
      </c>
      <c r="H977" s="307">
        <f t="shared" ca="1" si="447"/>
        <v>-134.74224098043567</v>
      </c>
      <c r="I977" s="304">
        <f t="shared" ca="1" si="448"/>
        <v>134.89701151840811</v>
      </c>
      <c r="J977" s="306">
        <f t="shared" ca="1" si="449"/>
        <v>638.40045476391947</v>
      </c>
      <c r="K977" s="307">
        <f t="shared" ca="1" si="450"/>
        <v>-10.850794602863491</v>
      </c>
      <c r="L977" s="304">
        <f t="shared" ca="1" si="435"/>
        <v>638.49266275055402</v>
      </c>
      <c r="M977" s="306">
        <f t="shared" ca="1" si="451"/>
        <v>-1.5228892676884529</v>
      </c>
      <c r="N977" s="304">
        <f t="shared" ca="1" si="452"/>
        <v>-87.255127704317005</v>
      </c>
      <c r="P977" s="310">
        <f t="shared" ca="1" si="453"/>
        <v>23</v>
      </c>
      <c r="Q977" s="304">
        <f t="shared" ca="1" si="454"/>
        <v>0</v>
      </c>
      <c r="R977" s="306">
        <f t="shared" ca="1" si="455"/>
        <v>0</v>
      </c>
      <c r="S977" s="307">
        <f t="shared" ca="1" si="456"/>
        <v>10.637999999999975</v>
      </c>
      <c r="T977" s="304">
        <f t="shared" ca="1" si="436"/>
        <v>104.35877999999975</v>
      </c>
      <c r="U977" s="311">
        <f t="shared" ca="1" si="437"/>
        <v>0</v>
      </c>
      <c r="V977" s="306">
        <f t="shared" ca="1" si="438"/>
        <v>1.2263299438862478</v>
      </c>
      <c r="W977" s="304">
        <f t="shared" ca="1" si="439"/>
        <v>92.74704364061526</v>
      </c>
      <c r="Y977" s="314" t="str">
        <f t="shared" ca="1" si="457"/>
        <v/>
      </c>
      <c r="Z977" s="315" t="str">
        <f t="shared" ca="1" si="458"/>
        <v/>
      </c>
      <c r="AA977" s="316" t="str">
        <f t="shared" ca="1" si="459"/>
        <v/>
      </c>
      <c r="AC977" s="310" t="e">
        <f t="shared" ca="1" si="460"/>
        <v>#N/A</v>
      </c>
      <c r="AD977" s="323" t="e">
        <f t="shared" ca="1" si="461"/>
        <v>#N/A</v>
      </c>
      <c r="AE977" s="324" t="e">
        <f t="shared" ca="1" si="440"/>
        <v>#N/A</v>
      </c>
      <c r="AG977" s="306">
        <f t="shared" ca="1" si="462"/>
        <v>1.0803040832018649</v>
      </c>
      <c r="AH977" s="304">
        <f t="shared" ca="1" si="463"/>
        <v>-8.7184405077213629</v>
      </c>
    </row>
    <row r="978" spans="1:34" x14ac:dyDescent="0.25">
      <c r="A978" s="347">
        <f t="shared" ca="1" si="441"/>
        <v>1E-4</v>
      </c>
      <c r="B978" s="304">
        <f t="shared" ca="1" si="442"/>
        <v>42.909500000000591</v>
      </c>
      <c r="D978" s="306">
        <f t="shared" ca="1" si="443"/>
        <v>-0.41751632770947894</v>
      </c>
      <c r="E978" s="307">
        <f t="shared" ca="1" si="444"/>
        <v>-1.101536683623058</v>
      </c>
      <c r="F978" s="304">
        <f t="shared" ca="1" si="445"/>
        <v>1.178008042956963</v>
      </c>
      <c r="G978" s="306">
        <f t="shared" ca="1" si="446"/>
        <v>6.4600056295970827</v>
      </c>
      <c r="H978" s="307">
        <f t="shared" ca="1" si="447"/>
        <v>-134.74235113410404</v>
      </c>
      <c r="I978" s="304">
        <f t="shared" ca="1" si="448"/>
        <v>134.89711954626983</v>
      </c>
      <c r="J978" s="306">
        <f t="shared" ca="1" si="449"/>
        <v>638.40045476391947</v>
      </c>
      <c r="K978" s="307">
        <f t="shared" ca="1" si="450"/>
        <v>-10.864268832469218</v>
      </c>
      <c r="L978" s="304">
        <f t="shared" ca="1" si="435"/>
        <v>638.49289187902741</v>
      </c>
      <c r="M978" s="306">
        <f t="shared" ca="1" si="451"/>
        <v>-1.5228896159453338</v>
      </c>
      <c r="N978" s="304">
        <f t="shared" ca="1" si="452"/>
        <v>-87.255147657966461</v>
      </c>
      <c r="P978" s="310">
        <f t="shared" ca="1" si="453"/>
        <v>23</v>
      </c>
      <c r="Q978" s="304">
        <f t="shared" ca="1" si="454"/>
        <v>0</v>
      </c>
      <c r="R978" s="306">
        <f t="shared" ca="1" si="455"/>
        <v>0</v>
      </c>
      <c r="S978" s="307">
        <f t="shared" ca="1" si="456"/>
        <v>10.637999999999975</v>
      </c>
      <c r="T978" s="304">
        <f t="shared" ca="1" si="436"/>
        <v>104.35877999999975</v>
      </c>
      <c r="U978" s="311">
        <f t="shared" ca="1" si="437"/>
        <v>0</v>
      </c>
      <c r="V978" s="306">
        <f t="shared" ca="1" si="438"/>
        <v>1.2263315962729717</v>
      </c>
      <c r="W978" s="304">
        <f t="shared" ca="1" si="439"/>
        <v>92.747317157367831</v>
      </c>
      <c r="Y978" s="314" t="str">
        <f t="shared" ca="1" si="457"/>
        <v/>
      </c>
      <c r="Z978" s="315" t="str">
        <f t="shared" ca="1" si="458"/>
        <v/>
      </c>
      <c r="AA978" s="316" t="str">
        <f t="shared" ca="1" si="459"/>
        <v/>
      </c>
      <c r="AC978" s="310" t="e">
        <f t="shared" ca="1" si="460"/>
        <v>#N/A</v>
      </c>
      <c r="AD978" s="323" t="e">
        <f t="shared" ca="1" si="461"/>
        <v>#N/A</v>
      </c>
      <c r="AE978" s="324" t="e">
        <f t="shared" ca="1" si="440"/>
        <v>#N/A</v>
      </c>
      <c r="AG978" s="306">
        <f t="shared" ca="1" si="462"/>
        <v>1.0802785352602253</v>
      </c>
      <c r="AH978" s="304">
        <f t="shared" ca="1" si="463"/>
        <v>-8.7184662192719937</v>
      </c>
    </row>
    <row r="979" spans="1:34" x14ac:dyDescent="0.25">
      <c r="A979" s="347">
        <f t="shared" ca="1" si="441"/>
        <v>1E-4</v>
      </c>
      <c r="B979" s="304">
        <f t="shared" ca="1" si="442"/>
        <v>42.909600000000594</v>
      </c>
      <c r="D979" s="306">
        <f t="shared" ca="1" si="443"/>
        <v>-0.4175145261996418</v>
      </c>
      <c r="E979" s="307">
        <f t="shared" ca="1" si="444"/>
        <v>-1.101510856424742</v>
      </c>
      <c r="F979" s="304">
        <f t="shared" ca="1" si="445"/>
        <v>1.177983253874723</v>
      </c>
      <c r="G979" s="306">
        <f t="shared" ca="1" si="446"/>
        <v>6.459963878144463</v>
      </c>
      <c r="H979" s="307">
        <f t="shared" ca="1" si="447"/>
        <v>-134.74246128518968</v>
      </c>
      <c r="I979" s="304">
        <f t="shared" ca="1" si="448"/>
        <v>134.89722757157676</v>
      </c>
      <c r="J979" s="306">
        <f t="shared" ca="1" si="449"/>
        <v>638.40045476391947</v>
      </c>
      <c r="K979" s="307">
        <f t="shared" ca="1" si="450"/>
        <v>-10.877743073090183</v>
      </c>
      <c r="L979" s="304">
        <f t="shared" ca="1" si="435"/>
        <v>638.49312129195516</v>
      </c>
      <c r="M979" s="306">
        <f t="shared" ca="1" si="451"/>
        <v>-1.522889964199406</v>
      </c>
      <c r="N979" s="304">
        <f t="shared" ca="1" si="452"/>
        <v>-87.255167611454993</v>
      </c>
      <c r="P979" s="310">
        <f t="shared" ca="1" si="453"/>
        <v>23</v>
      </c>
      <c r="Q979" s="304">
        <f t="shared" ca="1" si="454"/>
        <v>0</v>
      </c>
      <c r="R979" s="306">
        <f t="shared" ca="1" si="455"/>
        <v>0</v>
      </c>
      <c r="S979" s="307">
        <f t="shared" ca="1" si="456"/>
        <v>10.637999999999975</v>
      </c>
      <c r="T979" s="304">
        <f t="shared" ca="1" si="436"/>
        <v>104.35877999999975</v>
      </c>
      <c r="U979" s="311">
        <f t="shared" ca="1" si="437"/>
        <v>0</v>
      </c>
      <c r="V979" s="306">
        <f t="shared" ca="1" si="438"/>
        <v>1.2263332486632743</v>
      </c>
      <c r="W979" s="304">
        <f t="shared" ca="1" si="439"/>
        <v>92.747590671397248</v>
      </c>
      <c r="Y979" s="314" t="str">
        <f t="shared" ca="1" si="457"/>
        <v/>
      </c>
      <c r="Z979" s="315" t="str">
        <f t="shared" ca="1" si="458"/>
        <v/>
      </c>
      <c r="AA979" s="316" t="str">
        <f t="shared" ca="1" si="459"/>
        <v/>
      </c>
      <c r="AC979" s="310" t="e">
        <f t="shared" ca="1" si="460"/>
        <v>#N/A</v>
      </c>
      <c r="AD979" s="323" t="e">
        <f t="shared" ca="1" si="461"/>
        <v>#N/A</v>
      </c>
      <c r="AE979" s="324" t="e">
        <f t="shared" ca="1" si="440"/>
        <v>#N/A</v>
      </c>
      <c r="AG979" s="306">
        <f t="shared" ca="1" si="462"/>
        <v>1.0802529875720488</v>
      </c>
      <c r="AH979" s="304">
        <f t="shared" ca="1" si="463"/>
        <v>-8.7184919305666533</v>
      </c>
    </row>
    <row r="980" spans="1:34" x14ac:dyDescent="0.25">
      <c r="A980" s="347">
        <f t="shared" ca="1" si="441"/>
        <v>1E-4</v>
      </c>
      <c r="B980" s="304">
        <f t="shared" ca="1" si="442"/>
        <v>42.909700000000598</v>
      </c>
      <c r="D980" s="306">
        <f t="shared" ca="1" si="443"/>
        <v>-0.4175127246840668</v>
      </c>
      <c r="E980" s="307">
        <f t="shared" ca="1" si="444"/>
        <v>-1.1014850294834897</v>
      </c>
      <c r="F980" s="304">
        <f t="shared" ca="1" si="445"/>
        <v>1.1779584650781867</v>
      </c>
      <c r="G980" s="306">
        <f t="shared" ca="1" si="446"/>
        <v>6.4599221268719944</v>
      </c>
      <c r="H980" s="307">
        <f t="shared" ca="1" si="447"/>
        <v>-134.74257143369263</v>
      </c>
      <c r="I980" s="304">
        <f t="shared" ca="1" si="448"/>
        <v>134.89733559432898</v>
      </c>
      <c r="J980" s="306">
        <f t="shared" ca="1" si="449"/>
        <v>638.40045476391947</v>
      </c>
      <c r="K980" s="307">
        <f t="shared" ca="1" si="450"/>
        <v>-10.891217324726128</v>
      </c>
      <c r="L980" s="304">
        <f t="shared" ca="1" si="435"/>
        <v>638.49335098933773</v>
      </c>
      <c r="M980" s="306">
        <f t="shared" ca="1" si="451"/>
        <v>-1.5228903124506696</v>
      </c>
      <c r="N980" s="304">
        <f t="shared" ca="1" si="452"/>
        <v>-87.255187564782617</v>
      </c>
      <c r="P980" s="310">
        <f t="shared" ca="1" si="453"/>
        <v>23</v>
      </c>
      <c r="Q980" s="304">
        <f t="shared" ca="1" si="454"/>
        <v>0</v>
      </c>
      <c r="R980" s="306">
        <f t="shared" ca="1" si="455"/>
        <v>0</v>
      </c>
      <c r="S980" s="307">
        <f t="shared" ca="1" si="456"/>
        <v>10.637999999999975</v>
      </c>
      <c r="T980" s="304">
        <f t="shared" ca="1" si="436"/>
        <v>104.35877999999975</v>
      </c>
      <c r="U980" s="311">
        <f t="shared" ca="1" si="437"/>
        <v>0</v>
      </c>
      <c r="V980" s="306">
        <f t="shared" ca="1" si="438"/>
        <v>1.2263349010571549</v>
      </c>
      <c r="W980" s="304">
        <f t="shared" ca="1" si="439"/>
        <v>92.747864182703566</v>
      </c>
      <c r="Y980" s="314" t="str">
        <f t="shared" ca="1" si="457"/>
        <v/>
      </c>
      <c r="Z980" s="315" t="str">
        <f t="shared" ca="1" si="458"/>
        <v/>
      </c>
      <c r="AA980" s="316" t="str">
        <f t="shared" ca="1" si="459"/>
        <v/>
      </c>
      <c r="AC980" s="310" t="e">
        <f t="shared" ca="1" si="460"/>
        <v>#N/A</v>
      </c>
      <c r="AD980" s="323" t="e">
        <f t="shared" ca="1" si="461"/>
        <v>#N/A</v>
      </c>
      <c r="AE980" s="324" t="e">
        <f t="shared" ca="1" si="440"/>
        <v>#N/A</v>
      </c>
      <c r="AG980" s="306">
        <f t="shared" ca="1" si="462"/>
        <v>1.0802274401373513</v>
      </c>
      <c r="AH980" s="304">
        <f t="shared" ca="1" si="463"/>
        <v>-8.7185176416053274</v>
      </c>
    </row>
    <row r="981" spans="1:34" x14ac:dyDescent="0.25">
      <c r="A981" s="347">
        <f t="shared" ca="1" si="441"/>
        <v>1E-4</v>
      </c>
      <c r="B981" s="304">
        <f t="shared" ca="1" si="442"/>
        <v>42.909800000000601</v>
      </c>
      <c r="D981" s="306">
        <f t="shared" ca="1" si="443"/>
        <v>-0.41751092316275473</v>
      </c>
      <c r="E981" s="307">
        <f t="shared" ca="1" si="444"/>
        <v>-1.1014592027992904</v>
      </c>
      <c r="F981" s="304">
        <f t="shared" ca="1" si="445"/>
        <v>1.1779336765673456</v>
      </c>
      <c r="G981" s="306">
        <f t="shared" ca="1" si="446"/>
        <v>6.4598803757796786</v>
      </c>
      <c r="H981" s="307">
        <f t="shared" ca="1" si="447"/>
        <v>-134.74268157961291</v>
      </c>
      <c r="I981" s="304">
        <f t="shared" ca="1" si="448"/>
        <v>134.89744361452642</v>
      </c>
      <c r="J981" s="306">
        <f t="shared" ca="1" si="449"/>
        <v>638.40045476391947</v>
      </c>
      <c r="K981" s="307">
        <f t="shared" ca="1" si="450"/>
        <v>-10.904691587376794</v>
      </c>
      <c r="L981" s="304">
        <f t="shared" ca="1" si="435"/>
        <v>638.49358097117545</v>
      </c>
      <c r="M981" s="306">
        <f t="shared" ca="1" si="451"/>
        <v>-1.5228906606991248</v>
      </c>
      <c r="N981" s="304">
        <f t="shared" ca="1" si="452"/>
        <v>-87.255207517949316</v>
      </c>
      <c r="P981" s="310">
        <f t="shared" ca="1" si="453"/>
        <v>23</v>
      </c>
      <c r="Q981" s="304">
        <f t="shared" ca="1" si="454"/>
        <v>0</v>
      </c>
      <c r="R981" s="306">
        <f t="shared" ca="1" si="455"/>
        <v>0</v>
      </c>
      <c r="S981" s="307">
        <f t="shared" ca="1" si="456"/>
        <v>10.637999999999975</v>
      </c>
      <c r="T981" s="304">
        <f t="shared" ca="1" si="436"/>
        <v>104.35877999999975</v>
      </c>
      <c r="U981" s="311">
        <f t="shared" ca="1" si="437"/>
        <v>0</v>
      </c>
      <c r="V981" s="306">
        <f t="shared" ca="1" si="438"/>
        <v>1.2263365534546142</v>
      </c>
      <c r="W981" s="304">
        <f t="shared" ca="1" si="439"/>
        <v>92.748137691286757</v>
      </c>
      <c r="Y981" s="314" t="str">
        <f t="shared" ca="1" si="457"/>
        <v/>
      </c>
      <c r="Z981" s="315" t="str">
        <f t="shared" ca="1" si="458"/>
        <v/>
      </c>
      <c r="AA981" s="316" t="str">
        <f t="shared" ca="1" si="459"/>
        <v/>
      </c>
      <c r="AC981" s="310" t="e">
        <f t="shared" ca="1" si="460"/>
        <v>#N/A</v>
      </c>
      <c r="AD981" s="323" t="e">
        <f t="shared" ca="1" si="461"/>
        <v>#N/A</v>
      </c>
      <c r="AE981" s="324" t="e">
        <f t="shared" ca="1" si="440"/>
        <v>#N/A</v>
      </c>
      <c r="AG981" s="306">
        <f t="shared" ca="1" si="462"/>
        <v>1.0802018929561239</v>
      </c>
      <c r="AH981" s="304">
        <f t="shared" ca="1" si="463"/>
        <v>-8.7185433523880231</v>
      </c>
    </row>
    <row r="982" spans="1:34" x14ac:dyDescent="0.25">
      <c r="A982" s="347">
        <f t="shared" ca="1" si="441"/>
        <v>1E-4</v>
      </c>
      <c r="B982" s="304">
        <f t="shared" ca="1" si="442"/>
        <v>42.909900000000604</v>
      </c>
      <c r="D982" s="306">
        <f t="shared" ca="1" si="443"/>
        <v>-0.41750912163570397</v>
      </c>
      <c r="E982" s="307">
        <f t="shared" ca="1" si="444"/>
        <v>-1.1014333763721531</v>
      </c>
      <c r="F982" s="304">
        <f t="shared" ca="1" si="445"/>
        <v>1.1779088883422089</v>
      </c>
      <c r="G982" s="306">
        <f t="shared" ca="1" si="446"/>
        <v>6.4598386248675146</v>
      </c>
      <c r="H982" s="307">
        <f t="shared" ca="1" si="447"/>
        <v>-134.74279172295056</v>
      </c>
      <c r="I982" s="304">
        <f t="shared" ca="1" si="448"/>
        <v>134.89755163216924</v>
      </c>
      <c r="J982" s="306">
        <f t="shared" ca="1" si="449"/>
        <v>638.40045476391947</v>
      </c>
      <c r="K982" s="307">
        <f t="shared" ca="1" si="450"/>
        <v>-10.918165861041922</v>
      </c>
      <c r="L982" s="304">
        <f t="shared" ca="1" si="435"/>
        <v>638.49381123746878</v>
      </c>
      <c r="M982" s="306">
        <f t="shared" ca="1" si="451"/>
        <v>-1.5228910089447716</v>
      </c>
      <c r="N982" s="304">
        <f t="shared" ca="1" si="452"/>
        <v>-87.255227470955106</v>
      </c>
      <c r="P982" s="310">
        <f t="shared" ca="1" si="453"/>
        <v>23</v>
      </c>
      <c r="Q982" s="304">
        <f t="shared" ca="1" si="454"/>
        <v>0</v>
      </c>
      <c r="R982" s="306">
        <f t="shared" ca="1" si="455"/>
        <v>0</v>
      </c>
      <c r="S982" s="307">
        <f t="shared" ca="1" si="456"/>
        <v>10.637999999999975</v>
      </c>
      <c r="T982" s="304">
        <f t="shared" ca="1" si="436"/>
        <v>104.35877999999975</v>
      </c>
      <c r="U982" s="311">
        <f t="shared" ca="1" si="437"/>
        <v>0</v>
      </c>
      <c r="V982" s="306">
        <f t="shared" ca="1" si="438"/>
        <v>1.2263382058556522</v>
      </c>
      <c r="W982" s="304">
        <f t="shared" ca="1" si="439"/>
        <v>92.748411197146964</v>
      </c>
      <c r="Y982" s="314" t="str">
        <f t="shared" ca="1" si="457"/>
        <v/>
      </c>
      <c r="Z982" s="315" t="str">
        <f t="shared" ca="1" si="458"/>
        <v/>
      </c>
      <c r="AA982" s="316" t="str">
        <f t="shared" ca="1" si="459"/>
        <v/>
      </c>
      <c r="AC982" s="310" t="e">
        <f t="shared" ca="1" si="460"/>
        <v>#N/A</v>
      </c>
      <c r="AD982" s="323" t="e">
        <f t="shared" ca="1" si="461"/>
        <v>#N/A</v>
      </c>
      <c r="AE982" s="324" t="e">
        <f t="shared" ca="1" si="440"/>
        <v>#N/A</v>
      </c>
      <c r="AG982" s="306">
        <f t="shared" ca="1" si="462"/>
        <v>1.0801763460283702</v>
      </c>
      <c r="AH982" s="304">
        <f t="shared" ca="1" si="463"/>
        <v>-8.718569062914737</v>
      </c>
    </row>
    <row r="983" spans="1:34" x14ac:dyDescent="0.25">
      <c r="A983" s="347">
        <f t="shared" ca="1" si="441"/>
        <v>1E-4</v>
      </c>
      <c r="B983" s="304">
        <f t="shared" ca="1" si="442"/>
        <v>42.910000000000608</v>
      </c>
      <c r="D983" s="306">
        <f t="shared" ca="1" si="443"/>
        <v>-0.41750732010291569</v>
      </c>
      <c r="E983" s="307">
        <f t="shared" ca="1" si="444"/>
        <v>-1.1014075502020582</v>
      </c>
      <c r="F983" s="304">
        <f t="shared" ca="1" si="445"/>
        <v>1.1778841004027594</v>
      </c>
      <c r="G983" s="306">
        <f t="shared" ca="1" si="446"/>
        <v>6.4597968741355043</v>
      </c>
      <c r="H983" s="307">
        <f t="shared" ca="1" si="447"/>
        <v>-134.74290186370558</v>
      </c>
      <c r="I983" s="304">
        <f t="shared" ca="1" si="448"/>
        <v>134.89765964725734</v>
      </c>
      <c r="J983" s="306">
        <f t="shared" ca="1" si="449"/>
        <v>638.40045476391947</v>
      </c>
      <c r="K983" s="307">
        <f t="shared" ca="1" si="450"/>
        <v>-10.931640145721255</v>
      </c>
      <c r="L983" s="304">
        <f t="shared" ca="1" si="435"/>
        <v>638.49404178821806</v>
      </c>
      <c r="M983" s="306">
        <f t="shared" ca="1" si="451"/>
        <v>-1.5228913571876099</v>
      </c>
      <c r="N983" s="304">
        <f t="shared" ca="1" si="452"/>
        <v>-87.2552474238</v>
      </c>
      <c r="P983" s="310">
        <f t="shared" ca="1" si="453"/>
        <v>23</v>
      </c>
      <c r="Q983" s="304">
        <f t="shared" ca="1" si="454"/>
        <v>0</v>
      </c>
      <c r="R983" s="306">
        <f t="shared" ca="1" si="455"/>
        <v>0</v>
      </c>
      <c r="S983" s="307">
        <f t="shared" ca="1" si="456"/>
        <v>10.637999999999975</v>
      </c>
      <c r="T983" s="304">
        <f t="shared" ca="1" si="436"/>
        <v>104.35877999999975</v>
      </c>
      <c r="U983" s="311">
        <f t="shared" ca="1" si="437"/>
        <v>0</v>
      </c>
      <c r="V983" s="306">
        <f t="shared" ca="1" si="438"/>
        <v>1.2263398582602685</v>
      </c>
      <c r="W983" s="304">
        <f t="shared" ca="1" si="439"/>
        <v>92.748684700284059</v>
      </c>
      <c r="Y983" s="314" t="str">
        <f t="shared" ca="1" si="457"/>
        <v/>
      </c>
      <c r="Z983" s="315" t="str">
        <f t="shared" ca="1" si="458"/>
        <v/>
      </c>
      <c r="AA983" s="316" t="str">
        <f t="shared" ca="1" si="459"/>
        <v/>
      </c>
      <c r="AC983" s="310" t="e">
        <f t="shared" ca="1" si="460"/>
        <v>#N/A</v>
      </c>
      <c r="AD983" s="323" t="e">
        <f t="shared" ca="1" si="461"/>
        <v>#N/A</v>
      </c>
      <c r="AE983" s="324" t="e">
        <f t="shared" ca="1" si="440"/>
        <v>#N/A</v>
      </c>
      <c r="AG983" s="306">
        <f t="shared" ca="1" si="462"/>
        <v>1.080150799354076</v>
      </c>
      <c r="AH983" s="304">
        <f t="shared" ca="1" si="463"/>
        <v>-8.7185947731854849</v>
      </c>
    </row>
    <row r="984" spans="1:34" x14ac:dyDescent="0.25">
      <c r="A984" s="347">
        <f t="shared" ca="1" si="441"/>
        <v>1E-4</v>
      </c>
      <c r="B984" s="304">
        <f t="shared" ca="1" si="442"/>
        <v>42.910100000000611</v>
      </c>
      <c r="D984" s="306">
        <f t="shared" ca="1" si="443"/>
        <v>-0.41750551856438978</v>
      </c>
      <c r="E984" s="307">
        <f t="shared" ca="1" si="444"/>
        <v>-1.1013817242890216</v>
      </c>
      <c r="F984" s="304">
        <f t="shared" ca="1" si="445"/>
        <v>1.1778593127490136</v>
      </c>
      <c r="G984" s="306">
        <f t="shared" ca="1" si="446"/>
        <v>6.4597551235836477</v>
      </c>
      <c r="H984" s="307">
        <f t="shared" ca="1" si="447"/>
        <v>-134.74301200187801</v>
      </c>
      <c r="I984" s="304">
        <f t="shared" ca="1" si="448"/>
        <v>134.89776765979082</v>
      </c>
      <c r="J984" s="306">
        <f t="shared" ca="1" si="449"/>
        <v>638.40045476391947</v>
      </c>
      <c r="K984" s="307">
        <f t="shared" ca="1" si="450"/>
        <v>-10.945114441414535</v>
      </c>
      <c r="L984" s="304">
        <f t="shared" ca="1" si="435"/>
        <v>638.49427262342363</v>
      </c>
      <c r="M984" s="306">
        <f t="shared" ca="1" si="451"/>
        <v>-1.5228917054276399</v>
      </c>
      <c r="N984" s="304">
        <f t="shared" ca="1" si="452"/>
        <v>-87.255267376483971</v>
      </c>
      <c r="P984" s="310">
        <f t="shared" ca="1" si="453"/>
        <v>23</v>
      </c>
      <c r="Q984" s="304">
        <f t="shared" ca="1" si="454"/>
        <v>0</v>
      </c>
      <c r="R984" s="306">
        <f t="shared" ca="1" si="455"/>
        <v>0</v>
      </c>
      <c r="S984" s="307">
        <f t="shared" ca="1" si="456"/>
        <v>10.637999999999975</v>
      </c>
      <c r="T984" s="304">
        <f t="shared" ca="1" si="436"/>
        <v>104.35877999999975</v>
      </c>
      <c r="U984" s="311">
        <f t="shared" ca="1" si="437"/>
        <v>0</v>
      </c>
      <c r="V984" s="306">
        <f t="shared" ca="1" si="438"/>
        <v>1.226341510668463</v>
      </c>
      <c r="W984" s="304">
        <f t="shared" ca="1" si="439"/>
        <v>92.748958200698112</v>
      </c>
      <c r="Y984" s="314" t="str">
        <f t="shared" ca="1" si="457"/>
        <v/>
      </c>
      <c r="Z984" s="315" t="str">
        <f t="shared" ca="1" si="458"/>
        <v/>
      </c>
      <c r="AA984" s="316" t="str">
        <f t="shared" ca="1" si="459"/>
        <v/>
      </c>
      <c r="AC984" s="310" t="e">
        <f t="shared" ca="1" si="460"/>
        <v>#N/A</v>
      </c>
      <c r="AD984" s="323" t="e">
        <f t="shared" ca="1" si="461"/>
        <v>#N/A</v>
      </c>
      <c r="AE984" s="324" t="e">
        <f t="shared" ca="1" si="440"/>
        <v>#N/A</v>
      </c>
      <c r="AG984" s="306">
        <f t="shared" ca="1" si="462"/>
        <v>1.0801252529332537</v>
      </c>
      <c r="AH984" s="304">
        <f t="shared" ca="1" si="463"/>
        <v>-8.718620483200251</v>
      </c>
    </row>
    <row r="985" spans="1:34" x14ac:dyDescent="0.25">
      <c r="A985" s="347">
        <f t="shared" ca="1" si="441"/>
        <v>1E-4</v>
      </c>
      <c r="B985" s="304">
        <f t="shared" ca="1" si="442"/>
        <v>42.910200000000614</v>
      </c>
      <c r="D985" s="306">
        <f t="shared" ca="1" si="443"/>
        <v>-0.41750371702012712</v>
      </c>
      <c r="E985" s="307">
        <f t="shared" ca="1" si="444"/>
        <v>-1.1013558986330345</v>
      </c>
      <c r="F985" s="304">
        <f t="shared" ca="1" si="445"/>
        <v>1.1778345253809643</v>
      </c>
      <c r="G985" s="306">
        <f t="shared" ca="1" si="446"/>
        <v>6.4597133732119456</v>
      </c>
      <c r="H985" s="307">
        <f t="shared" ca="1" si="447"/>
        <v>-134.74312213746788</v>
      </c>
      <c r="I985" s="304">
        <f t="shared" ca="1" si="448"/>
        <v>134.89787566976969</v>
      </c>
      <c r="J985" s="306">
        <f t="shared" ca="1" si="449"/>
        <v>638.40045476391947</v>
      </c>
      <c r="K985" s="307">
        <f t="shared" ca="1" si="450"/>
        <v>-10.958588748121503</v>
      </c>
      <c r="L985" s="304">
        <f t="shared" ca="1" si="435"/>
        <v>638.49450374308594</v>
      </c>
      <c r="M985" s="306">
        <f t="shared" ca="1" si="451"/>
        <v>-1.5228920536648611</v>
      </c>
      <c r="N985" s="304">
        <f t="shared" ca="1" si="452"/>
        <v>-87.255287329007018</v>
      </c>
      <c r="P985" s="310">
        <f t="shared" ca="1" si="453"/>
        <v>23</v>
      </c>
      <c r="Q985" s="304">
        <f t="shared" ca="1" si="454"/>
        <v>0</v>
      </c>
      <c r="R985" s="306">
        <f t="shared" ca="1" si="455"/>
        <v>0</v>
      </c>
      <c r="S985" s="307">
        <f t="shared" ca="1" si="456"/>
        <v>10.637999999999975</v>
      </c>
      <c r="T985" s="304">
        <f t="shared" ca="1" si="436"/>
        <v>104.35877999999975</v>
      </c>
      <c r="U985" s="311">
        <f t="shared" ca="1" si="437"/>
        <v>0</v>
      </c>
      <c r="V985" s="306">
        <f t="shared" ca="1" si="438"/>
        <v>1.2263431630802359</v>
      </c>
      <c r="W985" s="304">
        <f t="shared" ca="1" si="439"/>
        <v>92.749231698389139</v>
      </c>
      <c r="Y985" s="314" t="str">
        <f t="shared" ca="1" si="457"/>
        <v/>
      </c>
      <c r="Z985" s="315" t="str">
        <f t="shared" ca="1" si="458"/>
        <v/>
      </c>
      <c r="AA985" s="316" t="str">
        <f t="shared" ca="1" si="459"/>
        <v/>
      </c>
      <c r="AC985" s="310" t="e">
        <f t="shared" ca="1" si="460"/>
        <v>#N/A</v>
      </c>
      <c r="AD985" s="323" t="e">
        <f t="shared" ca="1" si="461"/>
        <v>#N/A</v>
      </c>
      <c r="AE985" s="324" t="e">
        <f t="shared" ca="1" si="440"/>
        <v>#N/A</v>
      </c>
      <c r="AG985" s="306">
        <f t="shared" ca="1" si="462"/>
        <v>1.0800997067658962</v>
      </c>
      <c r="AH985" s="304">
        <f t="shared" ca="1" si="463"/>
        <v>-8.7186461929590457</v>
      </c>
    </row>
    <row r="986" spans="1:34" x14ac:dyDescent="0.25">
      <c r="A986" s="347">
        <f t="shared" ca="1" si="441"/>
        <v>1E-4</v>
      </c>
      <c r="B986" s="304">
        <f t="shared" ca="1" si="442"/>
        <v>42.910300000000618</v>
      </c>
      <c r="D986" s="306">
        <f t="shared" ca="1" si="443"/>
        <v>-0.4175019154701301</v>
      </c>
      <c r="E986" s="307">
        <f t="shared" ca="1" si="444"/>
        <v>-1.1013300732340969</v>
      </c>
      <c r="F986" s="304">
        <f t="shared" ca="1" si="445"/>
        <v>1.1778097382986137</v>
      </c>
      <c r="G986" s="306">
        <f t="shared" ca="1" si="446"/>
        <v>6.459671623020399</v>
      </c>
      <c r="H986" s="307">
        <f t="shared" ca="1" si="447"/>
        <v>-134.7432322704752</v>
      </c>
      <c r="I986" s="304">
        <f t="shared" ca="1" si="448"/>
        <v>134.89798367719393</v>
      </c>
      <c r="J986" s="306">
        <f t="shared" ca="1" si="449"/>
        <v>638.40045476391947</v>
      </c>
      <c r="K986" s="307">
        <f t="shared" ca="1" si="450"/>
        <v>-10.972063065841901</v>
      </c>
      <c r="L986" s="304">
        <f t="shared" ca="1" si="435"/>
        <v>638.49473514720546</v>
      </c>
      <c r="M986" s="306">
        <f t="shared" ca="1" si="451"/>
        <v>-1.5228924018992744</v>
      </c>
      <c r="N986" s="304">
        <f t="shared" ca="1" si="452"/>
        <v>-87.255307281369184</v>
      </c>
      <c r="P986" s="310">
        <f t="shared" ca="1" si="453"/>
        <v>23</v>
      </c>
      <c r="Q986" s="304">
        <f t="shared" ca="1" si="454"/>
        <v>0</v>
      </c>
      <c r="R986" s="306">
        <f t="shared" ca="1" si="455"/>
        <v>0</v>
      </c>
      <c r="S986" s="307">
        <f t="shared" ca="1" si="456"/>
        <v>10.637999999999975</v>
      </c>
      <c r="T986" s="304">
        <f t="shared" ca="1" si="436"/>
        <v>104.35877999999975</v>
      </c>
      <c r="U986" s="311">
        <f t="shared" ca="1" si="437"/>
        <v>0</v>
      </c>
      <c r="V986" s="306">
        <f t="shared" ca="1" si="438"/>
        <v>1.2263448154955872</v>
      </c>
      <c r="W986" s="304">
        <f t="shared" ca="1" si="439"/>
        <v>92.749505193357095</v>
      </c>
      <c r="Y986" s="314" t="str">
        <f t="shared" ca="1" si="457"/>
        <v/>
      </c>
      <c r="Z986" s="315" t="str">
        <f t="shared" ca="1" si="458"/>
        <v/>
      </c>
      <c r="AA986" s="316" t="str">
        <f t="shared" ca="1" si="459"/>
        <v/>
      </c>
      <c r="AC986" s="310" t="e">
        <f t="shared" ca="1" si="460"/>
        <v>#N/A</v>
      </c>
      <c r="AD986" s="323" t="e">
        <f t="shared" ca="1" si="461"/>
        <v>#N/A</v>
      </c>
      <c r="AE986" s="324" t="e">
        <f t="shared" ca="1" si="440"/>
        <v>#N/A</v>
      </c>
      <c r="AG986" s="306">
        <f t="shared" ca="1" si="462"/>
        <v>1.0800741608520035</v>
      </c>
      <c r="AH986" s="304">
        <f t="shared" ca="1" si="463"/>
        <v>-8.7186719024618693</v>
      </c>
    </row>
    <row r="987" spans="1:34" x14ac:dyDescent="0.25">
      <c r="A987" s="347">
        <f t="shared" ca="1" si="441"/>
        <v>1E-4</v>
      </c>
      <c r="B987" s="304">
        <f t="shared" ca="1" si="442"/>
        <v>42.910400000000621</v>
      </c>
      <c r="D987" s="306">
        <f t="shared" ca="1" si="443"/>
        <v>-0.41750011391439312</v>
      </c>
      <c r="E987" s="307">
        <f t="shared" ca="1" si="444"/>
        <v>-1.1013042480922159</v>
      </c>
      <c r="F987" s="304">
        <f t="shared" ca="1" si="445"/>
        <v>1.1777849515019676</v>
      </c>
      <c r="G987" s="306">
        <f t="shared" ca="1" si="446"/>
        <v>6.4596298730090078</v>
      </c>
      <c r="H987" s="307">
        <f t="shared" ca="1" si="447"/>
        <v>-134.74334240090002</v>
      </c>
      <c r="I987" s="304">
        <f t="shared" ca="1" si="448"/>
        <v>134.89809168206367</v>
      </c>
      <c r="J987" s="306">
        <f t="shared" ca="1" si="449"/>
        <v>638.40045476391947</v>
      </c>
      <c r="K987" s="307">
        <f t="shared" ca="1" si="450"/>
        <v>-10.98553739457547</v>
      </c>
      <c r="L987" s="304">
        <f t="shared" ca="1" si="435"/>
        <v>638.49496683578229</v>
      </c>
      <c r="M987" s="306">
        <f t="shared" ca="1" si="451"/>
        <v>-1.5228927501308791</v>
      </c>
      <c r="N987" s="304">
        <f t="shared" ca="1" si="452"/>
        <v>-87.255327233570426</v>
      </c>
      <c r="P987" s="310">
        <f t="shared" ca="1" si="453"/>
        <v>23</v>
      </c>
      <c r="Q987" s="304">
        <f t="shared" ca="1" si="454"/>
        <v>0</v>
      </c>
      <c r="R987" s="306">
        <f t="shared" ca="1" si="455"/>
        <v>0</v>
      </c>
      <c r="S987" s="307">
        <f t="shared" ca="1" si="456"/>
        <v>10.637999999999975</v>
      </c>
      <c r="T987" s="304">
        <f t="shared" ca="1" si="436"/>
        <v>104.35877999999975</v>
      </c>
      <c r="U987" s="311">
        <f t="shared" ca="1" si="437"/>
        <v>0</v>
      </c>
      <c r="V987" s="306">
        <f t="shared" ca="1" si="438"/>
        <v>1.2263464679145171</v>
      </c>
      <c r="W987" s="304">
        <f t="shared" ca="1" si="439"/>
        <v>92.749778685602109</v>
      </c>
      <c r="Y987" s="314" t="str">
        <f t="shared" ca="1" si="457"/>
        <v/>
      </c>
      <c r="Z987" s="315" t="str">
        <f t="shared" ca="1" si="458"/>
        <v/>
      </c>
      <c r="AA987" s="316" t="str">
        <f t="shared" ca="1" si="459"/>
        <v/>
      </c>
      <c r="AC987" s="310" t="e">
        <f t="shared" ca="1" si="460"/>
        <v>#N/A</v>
      </c>
      <c r="AD987" s="323" t="e">
        <f t="shared" ca="1" si="461"/>
        <v>#N/A</v>
      </c>
      <c r="AE987" s="324" t="e">
        <f t="shared" ca="1" si="440"/>
        <v>#N/A</v>
      </c>
      <c r="AG987" s="306">
        <f t="shared" ca="1" si="462"/>
        <v>1.0800486151915809</v>
      </c>
      <c r="AH987" s="304">
        <f t="shared" ca="1" si="463"/>
        <v>-8.7186976117087145</v>
      </c>
    </row>
    <row r="988" spans="1:34" x14ac:dyDescent="0.25">
      <c r="A988" s="347">
        <f t="shared" ca="1" si="441"/>
        <v>1E-4</v>
      </c>
      <c r="B988" s="304">
        <f t="shared" ca="1" si="442"/>
        <v>42.910500000000624</v>
      </c>
      <c r="D988" s="306">
        <f t="shared" ca="1" si="443"/>
        <v>-0.41749831235292334</v>
      </c>
      <c r="E988" s="307">
        <f t="shared" ca="1" si="444"/>
        <v>-1.101278423207372</v>
      </c>
      <c r="F988" s="304">
        <f t="shared" ca="1" si="445"/>
        <v>1.1777601649910117</v>
      </c>
      <c r="G988" s="306">
        <f t="shared" ca="1" si="446"/>
        <v>6.4595881231777721</v>
      </c>
      <c r="H988" s="307">
        <f t="shared" ca="1" si="447"/>
        <v>-134.74345252874235</v>
      </c>
      <c r="I988" s="304">
        <f t="shared" ca="1" si="448"/>
        <v>134.89819968437882</v>
      </c>
      <c r="J988" s="306">
        <f t="shared" ca="1" si="449"/>
        <v>638.40045476391947</v>
      </c>
      <c r="K988" s="307">
        <f t="shared" ca="1" si="450"/>
        <v>-10.999011734321952</v>
      </c>
      <c r="L988" s="304">
        <f t="shared" ca="1" si="435"/>
        <v>638.49519880881712</v>
      </c>
      <c r="M988" s="306">
        <f t="shared" ca="1" si="451"/>
        <v>-1.5228930983596758</v>
      </c>
      <c r="N988" s="304">
        <f t="shared" ca="1" si="452"/>
        <v>-87.255347185610773</v>
      </c>
      <c r="P988" s="310">
        <f t="shared" ca="1" si="453"/>
        <v>23</v>
      </c>
      <c r="Q988" s="304">
        <f t="shared" ca="1" si="454"/>
        <v>0</v>
      </c>
      <c r="R988" s="306">
        <f t="shared" ca="1" si="455"/>
        <v>0</v>
      </c>
      <c r="S988" s="307">
        <f t="shared" ca="1" si="456"/>
        <v>10.637999999999975</v>
      </c>
      <c r="T988" s="304">
        <f t="shared" ca="1" si="436"/>
        <v>104.35877999999975</v>
      </c>
      <c r="U988" s="311">
        <f t="shared" ca="1" si="437"/>
        <v>0</v>
      </c>
      <c r="V988" s="306">
        <f t="shared" ca="1" si="438"/>
        <v>1.226348120337025</v>
      </c>
      <c r="W988" s="304">
        <f t="shared" ca="1" si="439"/>
        <v>92.750052175124097</v>
      </c>
      <c r="Y988" s="314" t="str">
        <f t="shared" ca="1" si="457"/>
        <v/>
      </c>
      <c r="Z988" s="315" t="str">
        <f t="shared" ca="1" si="458"/>
        <v/>
      </c>
      <c r="AA988" s="316" t="str">
        <f t="shared" ca="1" si="459"/>
        <v/>
      </c>
      <c r="AC988" s="310" t="e">
        <f t="shared" ca="1" si="460"/>
        <v>#N/A</v>
      </c>
      <c r="AD988" s="323" t="e">
        <f t="shared" ca="1" si="461"/>
        <v>#N/A</v>
      </c>
      <c r="AE988" s="324" t="e">
        <f t="shared" ca="1" si="440"/>
        <v>#N/A</v>
      </c>
      <c r="AG988" s="306">
        <f t="shared" ca="1" si="462"/>
        <v>1.0800230697846089</v>
      </c>
      <c r="AH988" s="304">
        <f t="shared" ca="1" si="463"/>
        <v>-8.7187233206995991</v>
      </c>
    </row>
    <row r="989" spans="1:34" x14ac:dyDescent="0.25">
      <c r="A989" s="347">
        <f t="shared" ca="1" si="441"/>
        <v>1E-4</v>
      </c>
      <c r="B989" s="304">
        <f t="shared" ca="1" si="442"/>
        <v>42.910600000000628</v>
      </c>
      <c r="D989" s="306">
        <f t="shared" ca="1" si="443"/>
        <v>-0.4174965107857147</v>
      </c>
      <c r="E989" s="307">
        <f t="shared" ca="1" si="444"/>
        <v>-1.1012525985795794</v>
      </c>
      <c r="F989" s="304">
        <f t="shared" ca="1" si="445"/>
        <v>1.1777353787657576</v>
      </c>
      <c r="G989" s="306">
        <f t="shared" ca="1" si="446"/>
        <v>6.4595463735266936</v>
      </c>
      <c r="H989" s="307">
        <f t="shared" ca="1" si="447"/>
        <v>-134.7435626540022</v>
      </c>
      <c r="I989" s="304">
        <f t="shared" ca="1" si="448"/>
        <v>134.89830768413947</v>
      </c>
      <c r="J989" s="306">
        <f t="shared" ca="1" si="449"/>
        <v>638.40045476391947</v>
      </c>
      <c r="K989" s="307">
        <f t="shared" ca="1" si="450"/>
        <v>-11.01248608508109</v>
      </c>
      <c r="L989" s="304">
        <f t="shared" ca="1" si="435"/>
        <v>638.49543106631018</v>
      </c>
      <c r="M989" s="306">
        <f t="shared" ca="1" si="451"/>
        <v>-1.5228934465856638</v>
      </c>
      <c r="N989" s="304">
        <f t="shared" ca="1" si="452"/>
        <v>-87.255367137490211</v>
      </c>
      <c r="P989" s="310">
        <f t="shared" ca="1" si="453"/>
        <v>23</v>
      </c>
      <c r="Q989" s="304">
        <f t="shared" ca="1" si="454"/>
        <v>0</v>
      </c>
      <c r="R989" s="306">
        <f t="shared" ca="1" si="455"/>
        <v>0</v>
      </c>
      <c r="S989" s="307">
        <f t="shared" ca="1" si="456"/>
        <v>10.637999999999975</v>
      </c>
      <c r="T989" s="304">
        <f t="shared" ca="1" si="436"/>
        <v>104.35877999999975</v>
      </c>
      <c r="U989" s="311">
        <f t="shared" ca="1" si="437"/>
        <v>0</v>
      </c>
      <c r="V989" s="306">
        <f t="shared" ca="1" si="438"/>
        <v>1.2263497727631112</v>
      </c>
      <c r="W989" s="304">
        <f t="shared" ca="1" si="439"/>
        <v>92.750325661923057</v>
      </c>
      <c r="Y989" s="314" t="str">
        <f t="shared" ca="1" si="457"/>
        <v/>
      </c>
      <c r="Z989" s="315" t="str">
        <f t="shared" ca="1" si="458"/>
        <v/>
      </c>
      <c r="AA989" s="316" t="str">
        <f t="shared" ca="1" si="459"/>
        <v/>
      </c>
      <c r="AC989" s="310" t="e">
        <f t="shared" ca="1" si="460"/>
        <v>#N/A</v>
      </c>
      <c r="AD989" s="323" t="e">
        <f t="shared" ca="1" si="461"/>
        <v>#N/A</v>
      </c>
      <c r="AE989" s="324" t="e">
        <f t="shared" ca="1" si="440"/>
        <v>#N/A</v>
      </c>
      <c r="AG989" s="306">
        <f t="shared" ca="1" si="462"/>
        <v>1.0799975246311071</v>
      </c>
      <c r="AH989" s="304">
        <f t="shared" ca="1" si="463"/>
        <v>-8.7187490294345089</v>
      </c>
    </row>
    <row r="990" spans="1:34" x14ac:dyDescent="0.25">
      <c r="A990" s="347">
        <f t="shared" ca="1" si="441"/>
        <v>1E-4</v>
      </c>
      <c r="B990" s="304">
        <f t="shared" ca="1" si="442"/>
        <v>42.910700000000631</v>
      </c>
      <c r="D990" s="306">
        <f t="shared" ca="1" si="443"/>
        <v>-0.41749470921277382</v>
      </c>
      <c r="E990" s="307">
        <f t="shared" ca="1" si="444"/>
        <v>-1.1012267742088344</v>
      </c>
      <c r="F990" s="304">
        <f t="shared" ca="1" si="445"/>
        <v>1.1777105928262062</v>
      </c>
      <c r="G990" s="306">
        <f t="shared" ca="1" si="446"/>
        <v>6.4595046240557723</v>
      </c>
      <c r="H990" s="307">
        <f t="shared" ca="1" si="447"/>
        <v>-134.74367277667963</v>
      </c>
      <c r="I990" s="304">
        <f t="shared" ca="1" si="448"/>
        <v>134.89841568134563</v>
      </c>
      <c r="J990" s="306">
        <f t="shared" ca="1" si="449"/>
        <v>638.40045476391947</v>
      </c>
      <c r="K990" s="307">
        <f t="shared" ca="1" si="450"/>
        <v>-11.025960446852624</v>
      </c>
      <c r="L990" s="304">
        <f t="shared" ca="1" si="435"/>
        <v>638.49566360826191</v>
      </c>
      <c r="M990" s="306">
        <f t="shared" ca="1" si="451"/>
        <v>-1.5228937948088439</v>
      </c>
      <c r="N990" s="304">
        <f t="shared" ca="1" si="452"/>
        <v>-87.255387089208753</v>
      </c>
      <c r="P990" s="310">
        <f t="shared" ca="1" si="453"/>
        <v>23</v>
      </c>
      <c r="Q990" s="304">
        <f t="shared" ca="1" si="454"/>
        <v>0</v>
      </c>
      <c r="R990" s="306">
        <f t="shared" ca="1" si="455"/>
        <v>0</v>
      </c>
      <c r="S990" s="307">
        <f t="shared" ca="1" si="456"/>
        <v>10.637999999999975</v>
      </c>
      <c r="T990" s="304">
        <f t="shared" ca="1" si="436"/>
        <v>104.35877999999975</v>
      </c>
      <c r="U990" s="311">
        <f t="shared" ca="1" si="437"/>
        <v>0</v>
      </c>
      <c r="V990" s="306">
        <f t="shared" ca="1" si="438"/>
        <v>1.2263514251927756</v>
      </c>
      <c r="W990" s="304">
        <f t="shared" ca="1" si="439"/>
        <v>92.750599145999075</v>
      </c>
      <c r="Y990" s="314" t="str">
        <f t="shared" ca="1" si="457"/>
        <v/>
      </c>
      <c r="Z990" s="315" t="str">
        <f t="shared" ca="1" si="458"/>
        <v/>
      </c>
      <c r="AA990" s="316" t="str">
        <f t="shared" ca="1" si="459"/>
        <v/>
      </c>
      <c r="AC990" s="310" t="e">
        <f t="shared" ca="1" si="460"/>
        <v>#N/A</v>
      </c>
      <c r="AD990" s="323" t="e">
        <f t="shared" ca="1" si="461"/>
        <v>#N/A</v>
      </c>
      <c r="AE990" s="324" t="e">
        <f t="shared" ca="1" si="440"/>
        <v>#N/A</v>
      </c>
      <c r="AG990" s="306">
        <f t="shared" ca="1" si="462"/>
        <v>1.0799719797310683</v>
      </c>
      <c r="AH990" s="304">
        <f t="shared" ca="1" si="463"/>
        <v>-8.7187747379134493</v>
      </c>
    </row>
    <row r="991" spans="1:34" x14ac:dyDescent="0.25">
      <c r="A991" s="347">
        <f t="shared" ca="1" si="441"/>
        <v>1E-4</v>
      </c>
      <c r="B991" s="304">
        <f t="shared" ca="1" si="442"/>
        <v>42.910800000000634</v>
      </c>
      <c r="D991" s="306">
        <f t="shared" ca="1" si="443"/>
        <v>-0.41749290763409552</v>
      </c>
      <c r="E991" s="307">
        <f t="shared" ca="1" si="444"/>
        <v>-1.1012009500951301</v>
      </c>
      <c r="F991" s="304">
        <f t="shared" ca="1" si="445"/>
        <v>1.1776858071723497</v>
      </c>
      <c r="G991" s="306">
        <f t="shared" ca="1" si="446"/>
        <v>6.4594628747650091</v>
      </c>
      <c r="H991" s="307">
        <f t="shared" ca="1" si="447"/>
        <v>-134.74378289677463</v>
      </c>
      <c r="I991" s="304">
        <f t="shared" ca="1" si="448"/>
        <v>134.8985236759973</v>
      </c>
      <c r="J991" s="306">
        <f t="shared" ca="1" si="449"/>
        <v>638.40045476391947</v>
      </c>
      <c r="K991" s="307">
        <f t="shared" ca="1" si="450"/>
        <v>-11.039434819636297</v>
      </c>
      <c r="L991" s="304">
        <f t="shared" ca="1" si="435"/>
        <v>638.49589643467266</v>
      </c>
      <c r="M991" s="306">
        <f t="shared" ca="1" si="451"/>
        <v>-1.5228941430292158</v>
      </c>
      <c r="N991" s="304">
        <f t="shared" ca="1" si="452"/>
        <v>-87.2554070407664</v>
      </c>
      <c r="P991" s="310">
        <f t="shared" ca="1" si="453"/>
        <v>23</v>
      </c>
      <c r="Q991" s="304">
        <f t="shared" ca="1" si="454"/>
        <v>0</v>
      </c>
      <c r="R991" s="306">
        <f t="shared" ca="1" si="455"/>
        <v>0</v>
      </c>
      <c r="S991" s="307">
        <f t="shared" ca="1" si="456"/>
        <v>10.637999999999975</v>
      </c>
      <c r="T991" s="304">
        <f t="shared" ca="1" si="436"/>
        <v>104.35877999999975</v>
      </c>
      <c r="U991" s="311">
        <f t="shared" ca="1" si="437"/>
        <v>0</v>
      </c>
      <c r="V991" s="306">
        <f t="shared" ca="1" si="438"/>
        <v>1.2263530776260183</v>
      </c>
      <c r="W991" s="304">
        <f t="shared" ca="1" si="439"/>
        <v>92.750872627352095</v>
      </c>
      <c r="Y991" s="314" t="str">
        <f t="shared" ca="1" si="457"/>
        <v/>
      </c>
      <c r="Z991" s="315" t="str">
        <f t="shared" ca="1" si="458"/>
        <v/>
      </c>
      <c r="AA991" s="316" t="str">
        <f t="shared" ca="1" si="459"/>
        <v/>
      </c>
      <c r="AC991" s="310" t="e">
        <f t="shared" ca="1" si="460"/>
        <v>#N/A</v>
      </c>
      <c r="AD991" s="323" t="e">
        <f t="shared" ca="1" si="461"/>
        <v>#N/A</v>
      </c>
      <c r="AE991" s="324" t="e">
        <f t="shared" ca="1" si="440"/>
        <v>#N/A</v>
      </c>
      <c r="AG991" s="306">
        <f t="shared" ca="1" si="462"/>
        <v>1.0799464350844836</v>
      </c>
      <c r="AH991" s="304">
        <f t="shared" ca="1" si="463"/>
        <v>-8.7188004461364255</v>
      </c>
    </row>
    <row r="992" spans="1:34" x14ac:dyDescent="0.25">
      <c r="A992" s="347">
        <f t="shared" ca="1" si="441"/>
        <v>1E-4</v>
      </c>
      <c r="B992" s="304">
        <f t="shared" ca="1" si="442"/>
        <v>42.910900000000638</v>
      </c>
      <c r="D992" s="306">
        <f t="shared" ca="1" si="443"/>
        <v>-0.41749110604968209</v>
      </c>
      <c r="E992" s="307">
        <f t="shared" ca="1" si="444"/>
        <v>-1.1011751262384752</v>
      </c>
      <c r="F992" s="304">
        <f t="shared" ca="1" si="445"/>
        <v>1.1776610218041985</v>
      </c>
      <c r="G992" s="306">
        <f t="shared" ca="1" si="446"/>
        <v>6.4594211256544041</v>
      </c>
      <c r="H992" s="307">
        <f t="shared" ca="1" si="447"/>
        <v>-134.74389301428727</v>
      </c>
      <c r="I992" s="304">
        <f t="shared" ca="1" si="448"/>
        <v>134.89863166809457</v>
      </c>
      <c r="J992" s="306">
        <f t="shared" ca="1" si="449"/>
        <v>638.40045476391947</v>
      </c>
      <c r="K992" s="307">
        <f t="shared" ca="1" si="450"/>
        <v>-11.052909203431849</v>
      </c>
      <c r="L992" s="304">
        <f t="shared" ca="1" si="435"/>
        <v>638.49612954554277</v>
      </c>
      <c r="M992" s="306">
        <f t="shared" ca="1" si="451"/>
        <v>-1.5228944912467794</v>
      </c>
      <c r="N992" s="304">
        <f t="shared" ca="1" si="452"/>
        <v>-87.255426992163152</v>
      </c>
      <c r="P992" s="310">
        <f t="shared" ca="1" si="453"/>
        <v>23</v>
      </c>
      <c r="Q992" s="304">
        <f t="shared" ca="1" si="454"/>
        <v>0</v>
      </c>
      <c r="R992" s="306">
        <f t="shared" ca="1" si="455"/>
        <v>0</v>
      </c>
      <c r="S992" s="307">
        <f t="shared" ca="1" si="456"/>
        <v>10.637999999999975</v>
      </c>
      <c r="T992" s="304">
        <f t="shared" ca="1" si="436"/>
        <v>104.35877999999975</v>
      </c>
      <c r="U992" s="311">
        <f t="shared" ca="1" si="437"/>
        <v>0</v>
      </c>
      <c r="V992" s="306">
        <f t="shared" ca="1" si="438"/>
        <v>1.2263547300628392</v>
      </c>
      <c r="W992" s="304">
        <f t="shared" ca="1" si="439"/>
        <v>92.751146105982187</v>
      </c>
      <c r="Y992" s="314" t="str">
        <f t="shared" ca="1" si="457"/>
        <v/>
      </c>
      <c r="Z992" s="315" t="str">
        <f t="shared" ca="1" si="458"/>
        <v/>
      </c>
      <c r="AA992" s="316" t="str">
        <f t="shared" ca="1" si="459"/>
        <v/>
      </c>
      <c r="AC992" s="310" t="e">
        <f t="shared" ca="1" si="460"/>
        <v>#N/A</v>
      </c>
      <c r="AD992" s="323" t="e">
        <f t="shared" ca="1" si="461"/>
        <v>#N/A</v>
      </c>
      <c r="AE992" s="324" t="e">
        <f t="shared" ca="1" si="440"/>
        <v>#N/A</v>
      </c>
      <c r="AG992" s="306">
        <f t="shared" ca="1" si="462"/>
        <v>1.079920890691362</v>
      </c>
      <c r="AH992" s="304">
        <f t="shared" ca="1" si="463"/>
        <v>-8.7188261541034322</v>
      </c>
    </row>
    <row r="993" spans="1:34" x14ac:dyDescent="0.25">
      <c r="A993" s="347">
        <f t="shared" ca="1" si="441"/>
        <v>1E-4</v>
      </c>
      <c r="B993" s="304">
        <f t="shared" ca="1" si="442"/>
        <v>42.911000000000641</v>
      </c>
      <c r="D993" s="306">
        <f t="shared" ca="1" si="443"/>
        <v>-0.41748930445953425</v>
      </c>
      <c r="E993" s="307">
        <f t="shared" ca="1" si="444"/>
        <v>-1.1011493026388575</v>
      </c>
      <c r="F993" s="304">
        <f t="shared" ca="1" si="445"/>
        <v>1.1776362367217423</v>
      </c>
      <c r="G993" s="306">
        <f t="shared" ca="1" si="446"/>
        <v>6.459379376723958</v>
      </c>
      <c r="H993" s="307">
        <f t="shared" ca="1" si="447"/>
        <v>-134.74400312921753</v>
      </c>
      <c r="I993" s="304">
        <f t="shared" ca="1" si="448"/>
        <v>134.89873965763738</v>
      </c>
      <c r="J993" s="306">
        <f t="shared" ca="1" si="449"/>
        <v>638.40045476391947</v>
      </c>
      <c r="K993" s="307">
        <f t="shared" ca="1" si="450"/>
        <v>-11.066383598239025</v>
      </c>
      <c r="L993" s="304">
        <f t="shared" ca="1" si="435"/>
        <v>638.49636294087259</v>
      </c>
      <c r="M993" s="306">
        <f t="shared" ca="1" si="451"/>
        <v>-1.5228948394615349</v>
      </c>
      <c r="N993" s="304">
        <f t="shared" ca="1" si="452"/>
        <v>-87.255446943399008</v>
      </c>
      <c r="P993" s="310">
        <f t="shared" ca="1" si="453"/>
        <v>23</v>
      </c>
      <c r="Q993" s="304">
        <f t="shared" ca="1" si="454"/>
        <v>0</v>
      </c>
      <c r="R993" s="306">
        <f t="shared" ca="1" si="455"/>
        <v>0</v>
      </c>
      <c r="S993" s="307">
        <f t="shared" ca="1" si="456"/>
        <v>10.637999999999975</v>
      </c>
      <c r="T993" s="304">
        <f t="shared" ca="1" si="436"/>
        <v>104.35877999999975</v>
      </c>
      <c r="U993" s="311">
        <f t="shared" ca="1" si="437"/>
        <v>0</v>
      </c>
      <c r="V993" s="306">
        <f t="shared" ca="1" si="438"/>
        <v>1.2263563825032384</v>
      </c>
      <c r="W993" s="304">
        <f t="shared" ca="1" si="439"/>
        <v>92.751419581889337</v>
      </c>
      <c r="Y993" s="314" t="str">
        <f t="shared" ca="1" si="457"/>
        <v/>
      </c>
      <c r="Z993" s="315" t="str">
        <f t="shared" ca="1" si="458"/>
        <v/>
      </c>
      <c r="AA993" s="316" t="str">
        <f t="shared" ca="1" si="459"/>
        <v/>
      </c>
      <c r="AC993" s="310" t="e">
        <f t="shared" ca="1" si="460"/>
        <v>#N/A</v>
      </c>
      <c r="AD993" s="323" t="e">
        <f t="shared" ca="1" si="461"/>
        <v>#N/A</v>
      </c>
      <c r="AE993" s="324" t="e">
        <f t="shared" ca="1" si="440"/>
        <v>#N/A</v>
      </c>
      <c r="AG993" s="306">
        <f t="shared" ca="1" si="462"/>
        <v>1.0798953465516963</v>
      </c>
      <c r="AH993" s="304">
        <f t="shared" ca="1" si="463"/>
        <v>-8.7188518618144766</v>
      </c>
    </row>
    <row r="994" spans="1:34" x14ac:dyDescent="0.25">
      <c r="A994" s="347">
        <f t="shared" ca="1" si="441"/>
        <v>1E-4</v>
      </c>
      <c r="B994" s="304">
        <f t="shared" ca="1" si="442"/>
        <v>42.911100000000644</v>
      </c>
      <c r="D994" s="306">
        <f t="shared" ca="1" si="443"/>
        <v>-0.41748750286365255</v>
      </c>
      <c r="E994" s="307">
        <f t="shared" ca="1" si="444"/>
        <v>-1.1011234792962821</v>
      </c>
      <c r="F994" s="304">
        <f t="shared" ca="1" si="445"/>
        <v>1.1776114519249878</v>
      </c>
      <c r="G994" s="306">
        <f t="shared" ca="1" si="446"/>
        <v>6.4593376279736718</v>
      </c>
      <c r="H994" s="307">
        <f t="shared" ca="1" si="447"/>
        <v>-134.74411324156546</v>
      </c>
      <c r="I994" s="304">
        <f t="shared" ca="1" si="448"/>
        <v>134.89884764462585</v>
      </c>
      <c r="J994" s="306">
        <f t="shared" ca="1" si="449"/>
        <v>638.40045476391947</v>
      </c>
      <c r="K994" s="307">
        <f t="shared" ca="1" si="450"/>
        <v>-11.079858004057563</v>
      </c>
      <c r="L994" s="304">
        <f t="shared" ca="1" si="435"/>
        <v>638.49659662066267</v>
      </c>
      <c r="M994" s="306">
        <f t="shared" ca="1" si="451"/>
        <v>-1.5228951876734824</v>
      </c>
      <c r="N994" s="304">
        <f t="shared" ca="1" si="452"/>
        <v>-87.255466894473969</v>
      </c>
      <c r="P994" s="310">
        <f t="shared" ca="1" si="453"/>
        <v>23</v>
      </c>
      <c r="Q994" s="304">
        <f t="shared" ca="1" si="454"/>
        <v>0</v>
      </c>
      <c r="R994" s="306">
        <f t="shared" ca="1" si="455"/>
        <v>0</v>
      </c>
      <c r="S994" s="307">
        <f t="shared" ca="1" si="456"/>
        <v>10.637999999999975</v>
      </c>
      <c r="T994" s="304">
        <f t="shared" ca="1" si="436"/>
        <v>104.35877999999975</v>
      </c>
      <c r="U994" s="311">
        <f t="shared" ca="1" si="437"/>
        <v>0</v>
      </c>
      <c r="V994" s="306">
        <f t="shared" ca="1" si="438"/>
        <v>1.2263580349472161</v>
      </c>
      <c r="W994" s="304">
        <f t="shared" ca="1" si="439"/>
        <v>92.751693055073616</v>
      </c>
      <c r="Y994" s="314" t="str">
        <f t="shared" ca="1" si="457"/>
        <v/>
      </c>
      <c r="Z994" s="315" t="str">
        <f t="shared" ca="1" si="458"/>
        <v/>
      </c>
      <c r="AA994" s="316" t="str">
        <f t="shared" ca="1" si="459"/>
        <v/>
      </c>
      <c r="AC994" s="310" t="e">
        <f t="shared" ca="1" si="460"/>
        <v>#N/A</v>
      </c>
      <c r="AD994" s="323" t="e">
        <f t="shared" ca="1" si="461"/>
        <v>#N/A</v>
      </c>
      <c r="AE994" s="324" t="e">
        <f t="shared" ca="1" si="440"/>
        <v>#N/A</v>
      </c>
      <c r="AG994" s="306">
        <f t="shared" ca="1" si="462"/>
        <v>1.0798698026654865</v>
      </c>
      <c r="AH994" s="304">
        <f t="shared" ca="1" si="463"/>
        <v>-8.7188775692695568</v>
      </c>
    </row>
    <row r="995" spans="1:34" x14ac:dyDescent="0.25">
      <c r="A995" s="347">
        <f t="shared" ca="1" si="441"/>
        <v>1E-4</v>
      </c>
      <c r="B995" s="304">
        <f t="shared" ca="1" si="442"/>
        <v>42.911200000000647</v>
      </c>
      <c r="D995" s="306">
        <f t="shared" ca="1" si="443"/>
        <v>-0.41748570126203571</v>
      </c>
      <c r="E995" s="307">
        <f t="shared" ca="1" si="444"/>
        <v>-1.1010976562107402</v>
      </c>
      <c r="F995" s="304">
        <f t="shared" ca="1" si="445"/>
        <v>1.177586667413927</v>
      </c>
      <c r="G995" s="306">
        <f t="shared" ca="1" si="446"/>
        <v>6.4592958794035455</v>
      </c>
      <c r="H995" s="307">
        <f t="shared" ca="1" si="447"/>
        <v>-134.74422335133107</v>
      </c>
      <c r="I995" s="304">
        <f t="shared" ca="1" si="448"/>
        <v>134.89895562905991</v>
      </c>
      <c r="J995" s="306">
        <f t="shared" ca="1" si="449"/>
        <v>638.40045476391947</v>
      </c>
      <c r="K995" s="307">
        <f t="shared" ca="1" si="450"/>
        <v>-11.093332420887208</v>
      </c>
      <c r="L995" s="304">
        <f t="shared" ca="1" si="435"/>
        <v>638.49683058491337</v>
      </c>
      <c r="M995" s="306">
        <f t="shared" ca="1" si="451"/>
        <v>-1.5228955358826217</v>
      </c>
      <c r="N995" s="304">
        <f t="shared" ca="1" si="452"/>
        <v>-87.255486845388049</v>
      </c>
      <c r="P995" s="310">
        <f t="shared" ca="1" si="453"/>
        <v>23</v>
      </c>
      <c r="Q995" s="304">
        <f t="shared" ca="1" si="454"/>
        <v>0</v>
      </c>
      <c r="R995" s="306">
        <f t="shared" ca="1" si="455"/>
        <v>0</v>
      </c>
      <c r="S995" s="307">
        <f t="shared" ca="1" si="456"/>
        <v>10.637999999999975</v>
      </c>
      <c r="T995" s="304">
        <f t="shared" ca="1" si="436"/>
        <v>104.35877999999975</v>
      </c>
      <c r="U995" s="311">
        <f t="shared" ca="1" si="437"/>
        <v>0</v>
      </c>
      <c r="V995" s="306">
        <f t="shared" ca="1" si="438"/>
        <v>1.2263596873947715</v>
      </c>
      <c r="W995" s="304">
        <f t="shared" ca="1" si="439"/>
        <v>92.751966525534897</v>
      </c>
      <c r="Y995" s="314" t="str">
        <f t="shared" ca="1" si="457"/>
        <v/>
      </c>
      <c r="Z995" s="315" t="str">
        <f t="shared" ca="1" si="458"/>
        <v/>
      </c>
      <c r="AA995" s="316" t="str">
        <f t="shared" ca="1" si="459"/>
        <v/>
      </c>
      <c r="AC995" s="310" t="e">
        <f t="shared" ca="1" si="460"/>
        <v>#N/A</v>
      </c>
      <c r="AD995" s="323" t="e">
        <f t="shared" ca="1" si="461"/>
        <v>#N/A</v>
      </c>
      <c r="AE995" s="324" t="e">
        <f t="shared" ca="1" si="440"/>
        <v>#N/A</v>
      </c>
      <c r="AG995" s="306">
        <f t="shared" ca="1" si="462"/>
        <v>1.0798442590327255</v>
      </c>
      <c r="AH995" s="304">
        <f t="shared" ca="1" si="463"/>
        <v>-8.7189032764686818</v>
      </c>
    </row>
    <row r="996" spans="1:34" x14ac:dyDescent="0.25">
      <c r="A996" s="347">
        <f t="shared" ca="1" si="441"/>
        <v>1E-4</v>
      </c>
      <c r="B996" s="304">
        <f t="shared" ca="1" si="442"/>
        <v>42.911300000000651</v>
      </c>
      <c r="D996" s="306">
        <f t="shared" ca="1" si="443"/>
        <v>-0.41748389965468563</v>
      </c>
      <c r="E996" s="307">
        <f t="shared" ca="1" si="444"/>
        <v>-1.1010718333822478</v>
      </c>
      <c r="F996" s="304">
        <f t="shared" ca="1" si="445"/>
        <v>1.177561883188577</v>
      </c>
      <c r="G996" s="306">
        <f t="shared" ca="1" si="446"/>
        <v>6.45925413101358</v>
      </c>
      <c r="H996" s="307">
        <f t="shared" ca="1" si="447"/>
        <v>-134.7443334585144</v>
      </c>
      <c r="I996" s="304">
        <f t="shared" ca="1" si="448"/>
        <v>134.89906361093963</v>
      </c>
      <c r="J996" s="306">
        <f t="shared" ca="1" si="449"/>
        <v>638.40045476391947</v>
      </c>
      <c r="K996" s="307">
        <f t="shared" ca="1" si="450"/>
        <v>-11.1068068487277</v>
      </c>
      <c r="L996" s="304">
        <f t="shared" ca="1" si="435"/>
        <v>638.49706483362479</v>
      </c>
      <c r="M996" s="306">
        <f t="shared" ca="1" si="451"/>
        <v>-1.522895884088953</v>
      </c>
      <c r="N996" s="304">
        <f t="shared" ca="1" si="452"/>
        <v>-87.255506796141233</v>
      </c>
      <c r="P996" s="310">
        <f t="shared" ca="1" si="453"/>
        <v>23</v>
      </c>
      <c r="Q996" s="304">
        <f t="shared" ca="1" si="454"/>
        <v>0</v>
      </c>
      <c r="R996" s="306">
        <f t="shared" ca="1" si="455"/>
        <v>0</v>
      </c>
      <c r="S996" s="307">
        <f t="shared" ca="1" si="456"/>
        <v>10.637999999999975</v>
      </c>
      <c r="T996" s="304">
        <f t="shared" ca="1" si="436"/>
        <v>104.35877999999975</v>
      </c>
      <c r="U996" s="311">
        <f t="shared" ca="1" si="437"/>
        <v>0</v>
      </c>
      <c r="V996" s="306">
        <f t="shared" ca="1" si="438"/>
        <v>1.2263613398459057</v>
      </c>
      <c r="W996" s="304">
        <f t="shared" ca="1" si="439"/>
        <v>92.752239993273321</v>
      </c>
      <c r="Y996" s="314" t="str">
        <f t="shared" ca="1" si="457"/>
        <v/>
      </c>
      <c r="Z996" s="315" t="str">
        <f t="shared" ca="1" si="458"/>
        <v/>
      </c>
      <c r="AA996" s="316" t="str">
        <f t="shared" ca="1" si="459"/>
        <v/>
      </c>
      <c r="AC996" s="310" t="e">
        <f t="shared" ca="1" si="460"/>
        <v>#N/A</v>
      </c>
      <c r="AD996" s="323" t="e">
        <f t="shared" ca="1" si="461"/>
        <v>#N/A</v>
      </c>
      <c r="AE996" s="324" t="e">
        <f t="shared" ca="1" si="440"/>
        <v>#N/A</v>
      </c>
      <c r="AG996" s="306">
        <f t="shared" ca="1" si="462"/>
        <v>1.0798187156534276</v>
      </c>
      <c r="AH996" s="304">
        <f t="shared" ca="1" si="463"/>
        <v>-8.7189289834118355</v>
      </c>
    </row>
    <row r="997" spans="1:34" x14ac:dyDescent="0.25">
      <c r="A997" s="347">
        <f t="shared" ca="1" si="441"/>
        <v>1E-4</v>
      </c>
      <c r="B997" s="304">
        <f t="shared" ca="1" si="442"/>
        <v>42.911400000000654</v>
      </c>
      <c r="D997" s="306">
        <f t="shared" ca="1" si="443"/>
        <v>-0.41748209804160163</v>
      </c>
      <c r="E997" s="307">
        <f t="shared" ca="1" si="444"/>
        <v>-1.1010460108107853</v>
      </c>
      <c r="F997" s="304">
        <f t="shared" ca="1" si="445"/>
        <v>1.1775370992489202</v>
      </c>
      <c r="G997" s="306">
        <f t="shared" ca="1" si="446"/>
        <v>6.4592123828037762</v>
      </c>
      <c r="H997" s="307">
        <f t="shared" ca="1" si="447"/>
        <v>-134.74444356311548</v>
      </c>
      <c r="I997" s="304">
        <f t="shared" ca="1" si="448"/>
        <v>134.89917159026507</v>
      </c>
      <c r="J997" s="306">
        <f t="shared" ca="1" si="449"/>
        <v>638.40045476391947</v>
      </c>
      <c r="K997" s="307">
        <f t="shared" ca="1" si="450"/>
        <v>-11.120281287578782</v>
      </c>
      <c r="L997" s="304">
        <f t="shared" ca="1" si="435"/>
        <v>638.49729936679762</v>
      </c>
      <c r="M997" s="306">
        <f t="shared" ca="1" si="451"/>
        <v>-1.5228962322924764</v>
      </c>
      <c r="N997" s="304">
        <f t="shared" ca="1" si="452"/>
        <v>-87.255526746733523</v>
      </c>
      <c r="P997" s="310">
        <f t="shared" ca="1" si="453"/>
        <v>23</v>
      </c>
      <c r="Q997" s="304">
        <f t="shared" ca="1" si="454"/>
        <v>0</v>
      </c>
      <c r="R997" s="306">
        <f t="shared" ca="1" si="455"/>
        <v>0</v>
      </c>
      <c r="S997" s="307">
        <f t="shared" ca="1" si="456"/>
        <v>10.637999999999975</v>
      </c>
      <c r="T997" s="304">
        <f t="shared" ca="1" si="436"/>
        <v>104.35877999999975</v>
      </c>
      <c r="U997" s="311">
        <f t="shared" ca="1" si="437"/>
        <v>0</v>
      </c>
      <c r="V997" s="306">
        <f t="shared" ca="1" si="438"/>
        <v>1.2263629923006172</v>
      </c>
      <c r="W997" s="304">
        <f t="shared" ca="1" si="439"/>
        <v>92.752513458288803</v>
      </c>
      <c r="Y997" s="314" t="str">
        <f t="shared" ca="1" si="457"/>
        <v/>
      </c>
      <c r="Z997" s="315" t="str">
        <f t="shared" ca="1" si="458"/>
        <v/>
      </c>
      <c r="AA997" s="316" t="str">
        <f t="shared" ca="1" si="459"/>
        <v/>
      </c>
      <c r="AC997" s="310" t="e">
        <f t="shared" ca="1" si="460"/>
        <v>#N/A</v>
      </c>
      <c r="AD997" s="323" t="e">
        <f t="shared" ca="1" si="461"/>
        <v>#N/A</v>
      </c>
      <c r="AE997" s="324" t="e">
        <f t="shared" ca="1" si="440"/>
        <v>#N/A</v>
      </c>
      <c r="AG997" s="306">
        <f t="shared" ca="1" si="462"/>
        <v>1.0797931725275767</v>
      </c>
      <c r="AH997" s="304">
        <f t="shared" ca="1" si="463"/>
        <v>-8.7189546900990358</v>
      </c>
    </row>
    <row r="998" spans="1:34" x14ac:dyDescent="0.25">
      <c r="A998" s="347">
        <f t="shared" ca="1" si="441"/>
        <v>1E-4</v>
      </c>
      <c r="B998" s="304">
        <f t="shared" ca="1" si="442"/>
        <v>42.911500000000657</v>
      </c>
      <c r="D998" s="306">
        <f t="shared" ca="1" si="443"/>
        <v>-0.41748029642278356</v>
      </c>
      <c r="E998" s="307">
        <f t="shared" ca="1" si="444"/>
        <v>-1.1010201884963653</v>
      </c>
      <c r="F998" s="304">
        <f t="shared" ca="1" si="445"/>
        <v>1.1775123155949694</v>
      </c>
      <c r="G998" s="306">
        <f t="shared" ca="1" si="446"/>
        <v>6.459170634774134</v>
      </c>
      <c r="H998" s="307">
        <f t="shared" ca="1" si="447"/>
        <v>-134.74455366513433</v>
      </c>
      <c r="I998" s="304">
        <f t="shared" ca="1" si="448"/>
        <v>134.89927956703622</v>
      </c>
      <c r="J998" s="306">
        <f t="shared" ca="1" si="449"/>
        <v>638.40045476391947</v>
      </c>
      <c r="K998" s="307">
        <f t="shared" ca="1" si="450"/>
        <v>-11.133755737440195</v>
      </c>
      <c r="L998" s="304">
        <f t="shared" ca="1" si="435"/>
        <v>638.4975341844322</v>
      </c>
      <c r="M998" s="306">
        <f t="shared" ca="1" si="451"/>
        <v>-1.5228965804931918</v>
      </c>
      <c r="N998" s="304">
        <f t="shared" ca="1" si="452"/>
        <v>-87.255546697164945</v>
      </c>
      <c r="P998" s="310">
        <f t="shared" ca="1" si="453"/>
        <v>23</v>
      </c>
      <c r="Q998" s="304">
        <f t="shared" ca="1" si="454"/>
        <v>0</v>
      </c>
      <c r="R998" s="306">
        <f t="shared" ca="1" si="455"/>
        <v>0</v>
      </c>
      <c r="S998" s="307">
        <f t="shared" ca="1" si="456"/>
        <v>10.637999999999975</v>
      </c>
      <c r="T998" s="304">
        <f t="shared" ca="1" si="436"/>
        <v>104.35877999999975</v>
      </c>
      <c r="U998" s="311">
        <f t="shared" ca="1" si="437"/>
        <v>0</v>
      </c>
      <c r="V998" s="306">
        <f t="shared" ca="1" si="438"/>
        <v>1.2263646447589069</v>
      </c>
      <c r="W998" s="304">
        <f t="shared" ca="1" si="439"/>
        <v>92.752786920581457</v>
      </c>
      <c r="Y998" s="314" t="str">
        <f t="shared" ca="1" si="457"/>
        <v/>
      </c>
      <c r="Z998" s="315" t="str">
        <f t="shared" ca="1" si="458"/>
        <v/>
      </c>
      <c r="AA998" s="316" t="str">
        <f t="shared" ca="1" si="459"/>
        <v/>
      </c>
      <c r="AC998" s="310" t="e">
        <f t="shared" ca="1" si="460"/>
        <v>#N/A</v>
      </c>
      <c r="AD998" s="323" t="e">
        <f t="shared" ca="1" si="461"/>
        <v>#N/A</v>
      </c>
      <c r="AE998" s="324" t="e">
        <f t="shared" ca="1" si="440"/>
        <v>#N/A</v>
      </c>
      <c r="AG998" s="306">
        <f t="shared" ca="1" si="462"/>
        <v>1.0797676296551852</v>
      </c>
      <c r="AH998" s="304">
        <f t="shared" ca="1" si="463"/>
        <v>-8.7189803965302701</v>
      </c>
    </row>
    <row r="999" spans="1:34" x14ac:dyDescent="0.25">
      <c r="A999" s="347">
        <f t="shared" ca="1" si="441"/>
        <v>1E-4</v>
      </c>
      <c r="B999" s="304">
        <f t="shared" ca="1" si="442"/>
        <v>42.911600000000661</v>
      </c>
      <c r="D999" s="306">
        <f t="shared" ca="1" si="443"/>
        <v>-0.41747849479823262</v>
      </c>
      <c r="E999" s="307">
        <f t="shared" ca="1" si="444"/>
        <v>-1.1009943664389752</v>
      </c>
      <c r="F999" s="304">
        <f t="shared" ca="1" si="445"/>
        <v>1.1774875322267147</v>
      </c>
      <c r="G999" s="306">
        <f t="shared" ca="1" si="446"/>
        <v>6.4591288869246544</v>
      </c>
      <c r="H999" s="307">
        <f t="shared" ca="1" si="447"/>
        <v>-134.74466376457099</v>
      </c>
      <c r="I999" s="304">
        <f t="shared" ca="1" si="448"/>
        <v>134.89938754125311</v>
      </c>
      <c r="J999" s="306">
        <f t="shared" ca="1" si="449"/>
        <v>638.40045476391947</v>
      </c>
      <c r="K999" s="307">
        <f t="shared" ca="1" si="450"/>
        <v>-11.14723019831168</v>
      </c>
      <c r="L999" s="304">
        <f t="shared" ca="1" si="435"/>
        <v>638.49776928652875</v>
      </c>
      <c r="M999" s="306">
        <f t="shared" ca="1" si="451"/>
        <v>-1.5228969286910992</v>
      </c>
      <c r="N999" s="304">
        <f t="shared" ca="1" si="452"/>
        <v>-87.255566647435472</v>
      </c>
      <c r="P999" s="310">
        <f t="shared" ca="1" si="453"/>
        <v>23</v>
      </c>
      <c r="Q999" s="304">
        <f t="shared" ca="1" si="454"/>
        <v>0</v>
      </c>
      <c r="R999" s="306">
        <f t="shared" ca="1" si="455"/>
        <v>0</v>
      </c>
      <c r="S999" s="307">
        <f t="shared" ca="1" si="456"/>
        <v>10.637999999999975</v>
      </c>
      <c r="T999" s="304">
        <f t="shared" ca="1" si="436"/>
        <v>104.35877999999975</v>
      </c>
      <c r="U999" s="311">
        <f t="shared" ca="1" si="437"/>
        <v>0</v>
      </c>
      <c r="V999" s="306">
        <f t="shared" ca="1" si="438"/>
        <v>1.2263662972207754</v>
      </c>
      <c r="W999" s="304">
        <f t="shared" ca="1" si="439"/>
        <v>92.753060380151283</v>
      </c>
      <c r="Y999" s="314" t="str">
        <f t="shared" ca="1" si="457"/>
        <v/>
      </c>
      <c r="Z999" s="315" t="str">
        <f t="shared" ca="1" si="458"/>
        <v/>
      </c>
      <c r="AA999" s="316" t="str">
        <f t="shared" ca="1" si="459"/>
        <v/>
      </c>
      <c r="AC999" s="310" t="e">
        <f t="shared" ca="1" si="460"/>
        <v>#N/A</v>
      </c>
      <c r="AD999" s="323" t="e">
        <f t="shared" ca="1" si="461"/>
        <v>#N/A</v>
      </c>
      <c r="AE999" s="324" t="e">
        <f t="shared" ca="1" si="440"/>
        <v>#N/A</v>
      </c>
      <c r="AG999" s="306">
        <f t="shared" ca="1" si="462"/>
        <v>1.0797420870362373</v>
      </c>
      <c r="AH999" s="304">
        <f t="shared" ca="1" si="463"/>
        <v>-8.7190061027055528</v>
      </c>
    </row>
    <row r="1000" spans="1:34" x14ac:dyDescent="0.25">
      <c r="A1000" s="347">
        <f t="shared" ca="1" si="441"/>
        <v>1E-4</v>
      </c>
      <c r="B1000" s="304">
        <f t="shared" ca="1" si="442"/>
        <v>42.911700000000664</v>
      </c>
      <c r="D1000" s="306">
        <f t="shared" ca="1" si="443"/>
        <v>-0.41747669316794916</v>
      </c>
      <c r="E1000" s="307">
        <f t="shared" ca="1" si="444"/>
        <v>-1.1009685446386168</v>
      </c>
      <c r="F1000" s="304">
        <f t="shared" ca="1" si="445"/>
        <v>1.1774627491441587</v>
      </c>
      <c r="G1000" s="306">
        <f t="shared" ca="1" si="446"/>
        <v>6.4590871392553373</v>
      </c>
      <c r="H1000" s="307">
        <f t="shared" ca="1" si="447"/>
        <v>-134.74477386142544</v>
      </c>
      <c r="I1000" s="304">
        <f t="shared" ca="1" si="448"/>
        <v>134.89949551291573</v>
      </c>
      <c r="J1000" s="306">
        <f t="shared" ca="1" si="449"/>
        <v>638.40045476391947</v>
      </c>
      <c r="K1000" s="307">
        <f t="shared" ca="1" si="450"/>
        <v>-11.160704670192981</v>
      </c>
      <c r="L1000" s="304">
        <f t="shared" ca="1" si="435"/>
        <v>638.49800467308785</v>
      </c>
      <c r="M1000" s="306">
        <f t="shared" ca="1" si="451"/>
        <v>-1.5228972768861988</v>
      </c>
      <c r="N1000" s="304">
        <f t="shared" ca="1" si="452"/>
        <v>-87.255586597545133</v>
      </c>
      <c r="P1000" s="310">
        <f t="shared" ca="1" si="453"/>
        <v>23</v>
      </c>
      <c r="Q1000" s="304">
        <f t="shared" ca="1" si="454"/>
        <v>0</v>
      </c>
      <c r="R1000" s="306">
        <f t="shared" ca="1" si="455"/>
        <v>0</v>
      </c>
      <c r="S1000" s="307">
        <f t="shared" ca="1" si="456"/>
        <v>10.637999999999975</v>
      </c>
      <c r="T1000" s="304">
        <f t="shared" ca="1" si="436"/>
        <v>104.35877999999975</v>
      </c>
      <c r="U1000" s="311">
        <f t="shared" ca="1" si="437"/>
        <v>0</v>
      </c>
      <c r="V1000" s="306">
        <f t="shared" ca="1" si="438"/>
        <v>1.2263679496862214</v>
      </c>
      <c r="W1000" s="304">
        <f t="shared" ca="1" si="439"/>
        <v>92.753333836998181</v>
      </c>
      <c r="Y1000" s="314" t="str">
        <f t="shared" ca="1" si="457"/>
        <v/>
      </c>
      <c r="Z1000" s="315" t="str">
        <f t="shared" ca="1" si="458"/>
        <v/>
      </c>
      <c r="AA1000" s="316" t="str">
        <f t="shared" ca="1" si="459"/>
        <v/>
      </c>
      <c r="AC1000" s="310" t="e">
        <f t="shared" ca="1" si="460"/>
        <v>#N/A</v>
      </c>
      <c r="AD1000" s="323" t="e">
        <f t="shared" ca="1" si="461"/>
        <v>#N/A</v>
      </c>
      <c r="AE1000" s="324" t="e">
        <f t="shared" ca="1" si="440"/>
        <v>#N/A</v>
      </c>
      <c r="AG1000" s="306">
        <f t="shared" ca="1" si="462"/>
        <v>1.0797165446707364</v>
      </c>
      <c r="AH1000" s="304">
        <f t="shared" ca="1" si="463"/>
        <v>-8.7190318086248819</v>
      </c>
    </row>
    <row r="1001" spans="1:34" x14ac:dyDescent="0.25">
      <c r="A1001" s="347">
        <f t="shared" ca="1" si="441"/>
        <v>1E-4</v>
      </c>
      <c r="B1001" s="304">
        <f t="shared" ca="1" si="442"/>
        <v>42.911800000000667</v>
      </c>
      <c r="D1001" s="306">
        <f t="shared" ca="1" si="443"/>
        <v>-0.41747489153193135</v>
      </c>
      <c r="E1001" s="307">
        <f t="shared" ca="1" si="444"/>
        <v>-1.1009427230952973</v>
      </c>
      <c r="F1001" s="304">
        <f t="shared" ca="1" si="445"/>
        <v>1.1774379663473089</v>
      </c>
      <c r="G1001" s="306">
        <f t="shared" ca="1" si="446"/>
        <v>6.4590453917661845</v>
      </c>
      <c r="H1001" s="307">
        <f t="shared" ca="1" si="447"/>
        <v>-134.74488395569776</v>
      </c>
      <c r="I1001" s="304">
        <f t="shared" ca="1" si="448"/>
        <v>134.89960348202419</v>
      </c>
      <c r="J1001" s="306">
        <f t="shared" ca="1" si="449"/>
        <v>638.40045476391947</v>
      </c>
      <c r="K1001" s="307">
        <f t="shared" ca="1" si="450"/>
        <v>-11.174179153083838</v>
      </c>
      <c r="L1001" s="304">
        <f t="shared" ca="1" si="435"/>
        <v>638.4982403441096</v>
      </c>
      <c r="M1001" s="306">
        <f t="shared" ca="1" si="451"/>
        <v>-1.5228976250784902</v>
      </c>
      <c r="N1001" s="304">
        <f t="shared" ca="1" si="452"/>
        <v>-87.255606547493883</v>
      </c>
      <c r="P1001" s="310">
        <f t="shared" ca="1" si="453"/>
        <v>23</v>
      </c>
      <c r="Q1001" s="304">
        <f t="shared" ca="1" si="454"/>
        <v>0</v>
      </c>
      <c r="R1001" s="306">
        <f t="shared" ca="1" si="455"/>
        <v>0</v>
      </c>
      <c r="S1001" s="307">
        <f t="shared" ca="1" si="456"/>
        <v>10.637999999999975</v>
      </c>
      <c r="T1001" s="304">
        <f t="shared" ca="1" si="436"/>
        <v>104.35877999999975</v>
      </c>
      <c r="U1001" s="311">
        <f t="shared" ca="1" si="437"/>
        <v>0</v>
      </c>
      <c r="V1001" s="306">
        <f t="shared" ca="1" si="438"/>
        <v>1.2263696021552455</v>
      </c>
      <c r="W1001" s="304">
        <f t="shared" ca="1" si="439"/>
        <v>92.753607291122293</v>
      </c>
      <c r="Y1001" s="314" t="str">
        <f t="shared" ca="1" si="457"/>
        <v/>
      </c>
      <c r="Z1001" s="315" t="str">
        <f t="shared" ca="1" si="458"/>
        <v/>
      </c>
      <c r="AA1001" s="316" t="str">
        <f t="shared" ca="1" si="459"/>
        <v/>
      </c>
      <c r="AC1001" s="310" t="e">
        <f t="shared" ca="1" si="460"/>
        <v>#N/A</v>
      </c>
      <c r="AD1001" s="323" t="e">
        <f t="shared" ca="1" si="461"/>
        <v>#N/A</v>
      </c>
      <c r="AE1001" s="324" t="e">
        <f t="shared" ca="1" si="440"/>
        <v>#N/A</v>
      </c>
      <c r="AG1001" s="306">
        <f t="shared" ca="1" si="462"/>
        <v>1.0796910025586914</v>
      </c>
      <c r="AH1001" s="304">
        <f t="shared" ca="1" si="463"/>
        <v>-8.7190575142882487</v>
      </c>
    </row>
    <row r="1002" spans="1:34" x14ac:dyDescent="0.25">
      <c r="A1002" s="347">
        <f t="shared" ca="1" si="441"/>
        <v>1E-4</v>
      </c>
      <c r="B1002" s="304">
        <f t="shared" ca="1" si="442"/>
        <v>42.911900000000671</v>
      </c>
      <c r="D1002" s="306">
        <f t="shared" ca="1" si="443"/>
        <v>-0.41747308989018428</v>
      </c>
      <c r="E1002" s="307">
        <f t="shared" ca="1" si="444"/>
        <v>-1.1009169018090024</v>
      </c>
      <c r="F1002" s="304">
        <f t="shared" ca="1" si="445"/>
        <v>1.1774131838361548</v>
      </c>
      <c r="G1002" s="306">
        <f t="shared" ca="1" si="446"/>
        <v>6.4590036444571952</v>
      </c>
      <c r="H1002" s="307">
        <f t="shared" ca="1" si="447"/>
        <v>-134.74499404738793</v>
      </c>
      <c r="I1002" s="304">
        <f t="shared" ca="1" si="448"/>
        <v>134.89971144857842</v>
      </c>
      <c r="J1002" s="306">
        <f t="shared" ca="1" si="449"/>
        <v>638.40045476391947</v>
      </c>
      <c r="K1002" s="307">
        <f t="shared" ca="1" si="450"/>
        <v>-11.187653646983993</v>
      </c>
      <c r="L1002" s="304">
        <f t="shared" ca="1" si="435"/>
        <v>638.4984762995947</v>
      </c>
      <c r="M1002" s="306">
        <f t="shared" ca="1" si="451"/>
        <v>-1.5228979732679742</v>
      </c>
      <c r="N1002" s="304">
        <f t="shared" ca="1" si="452"/>
        <v>-87.255626497281781</v>
      </c>
      <c r="P1002" s="310">
        <f t="shared" ca="1" si="453"/>
        <v>23</v>
      </c>
      <c r="Q1002" s="304">
        <f t="shared" ca="1" si="454"/>
        <v>0</v>
      </c>
      <c r="R1002" s="306">
        <f t="shared" ca="1" si="455"/>
        <v>0</v>
      </c>
      <c r="S1002" s="307">
        <f t="shared" ca="1" si="456"/>
        <v>10.637999999999975</v>
      </c>
      <c r="T1002" s="304">
        <f t="shared" ca="1" si="436"/>
        <v>104.35877999999975</v>
      </c>
      <c r="U1002" s="311">
        <f t="shared" ca="1" si="437"/>
        <v>0</v>
      </c>
      <c r="V1002" s="306">
        <f t="shared" ca="1" si="438"/>
        <v>1.2263712546278474</v>
      </c>
      <c r="W1002" s="304">
        <f t="shared" ca="1" si="439"/>
        <v>92.753880742523521</v>
      </c>
      <c r="Y1002" s="314" t="str">
        <f t="shared" ca="1" si="457"/>
        <v/>
      </c>
      <c r="Z1002" s="315" t="str">
        <f t="shared" ca="1" si="458"/>
        <v/>
      </c>
      <c r="AA1002" s="316" t="str">
        <f t="shared" ca="1" si="459"/>
        <v/>
      </c>
      <c r="AC1002" s="310" t="e">
        <f t="shared" ca="1" si="460"/>
        <v>#N/A</v>
      </c>
      <c r="AD1002" s="323" t="e">
        <f t="shared" ca="1" si="461"/>
        <v>#N/A</v>
      </c>
      <c r="AE1002" s="324" t="e">
        <f t="shared" ca="1" si="440"/>
        <v>#N/A</v>
      </c>
      <c r="AG1002" s="306">
        <f t="shared" ca="1" si="462"/>
        <v>1.0796654607000864</v>
      </c>
      <c r="AH1002" s="304">
        <f t="shared" ca="1" si="463"/>
        <v>-8.7190832196956674</v>
      </c>
    </row>
    <row r="1003" spans="1:34" x14ac:dyDescent="0.25">
      <c r="A1003" s="347">
        <f t="shared" ca="1" si="441"/>
        <v>1E-4</v>
      </c>
      <c r="B1003" s="304">
        <f t="shared" ca="1" si="442"/>
        <v>42.912000000000674</v>
      </c>
      <c r="D1003" s="306">
        <f t="shared" ca="1" si="443"/>
        <v>-0.41747128824270202</v>
      </c>
      <c r="E1003" s="307">
        <f t="shared" ca="1" si="444"/>
        <v>-1.1008910807797445</v>
      </c>
      <c r="F1003" s="304">
        <f t="shared" ca="1" si="445"/>
        <v>1.1773884016107068</v>
      </c>
      <c r="G1003" s="306">
        <f t="shared" ca="1" si="446"/>
        <v>6.4589618973283711</v>
      </c>
      <c r="H1003" s="307">
        <f t="shared" ca="1" si="447"/>
        <v>-134.74510413649602</v>
      </c>
      <c r="I1003" s="304">
        <f t="shared" ca="1" si="448"/>
        <v>134.89981941257852</v>
      </c>
      <c r="J1003" s="306">
        <f t="shared" ca="1" si="449"/>
        <v>638.40045476391947</v>
      </c>
      <c r="K1003" s="307">
        <f t="shared" ca="1" si="450"/>
        <v>-11.201128151893187</v>
      </c>
      <c r="L1003" s="304">
        <f t="shared" ca="1" si="435"/>
        <v>638.49871253954325</v>
      </c>
      <c r="M1003" s="306">
        <f t="shared" ca="1" si="451"/>
        <v>-1.5228983214546501</v>
      </c>
      <c r="N1003" s="304">
        <f t="shared" ca="1" si="452"/>
        <v>-87.255646446908798</v>
      </c>
      <c r="P1003" s="310">
        <f t="shared" ca="1" si="453"/>
        <v>23</v>
      </c>
      <c r="Q1003" s="304">
        <f t="shared" ca="1" si="454"/>
        <v>0</v>
      </c>
      <c r="R1003" s="306">
        <f t="shared" ca="1" si="455"/>
        <v>0</v>
      </c>
      <c r="S1003" s="307">
        <f t="shared" ca="1" si="456"/>
        <v>10.637999999999975</v>
      </c>
      <c r="T1003" s="304">
        <f t="shared" ca="1" si="436"/>
        <v>104.35877999999975</v>
      </c>
      <c r="U1003" s="311">
        <f t="shared" ca="1" si="437"/>
        <v>0</v>
      </c>
      <c r="V1003" s="306">
        <f ca="1">Rho_moyen*(20000-Alt_rampe-pos_z)/(20000+Alt_rampe+pos_z)</f>
        <v>1.2263729071040277</v>
      </c>
      <c r="W1003" s="304">
        <f t="shared" ca="1" si="439"/>
        <v>92.754154191202005</v>
      </c>
      <c r="Y1003" s="314" t="str">
        <f t="shared" ca="1" si="457"/>
        <v/>
      </c>
      <c r="Z1003" s="315" t="str">
        <f t="shared" ca="1" si="458"/>
        <v/>
      </c>
      <c r="AA1003" s="316" t="str">
        <f t="shared" ca="1" si="459"/>
        <v/>
      </c>
      <c r="AC1003" s="310" t="e">
        <f t="shared" ca="1" si="460"/>
        <v>#N/A</v>
      </c>
      <c r="AD1003" s="323" t="e">
        <f t="shared" ca="1" si="461"/>
        <v>#N/A</v>
      </c>
      <c r="AE1003" s="324" t="e">
        <f t="shared" ca="1" si="440"/>
        <v>#N/A</v>
      </c>
      <c r="AG1003" s="306">
        <f t="shared" ca="1" si="462"/>
        <v>1.0796399190949355</v>
      </c>
      <c r="AH1003" s="304">
        <f t="shared" ca="1" si="463"/>
        <v>-8.7191089248471272</v>
      </c>
    </row>
    <row r="1004" spans="1:34" x14ac:dyDescent="0.25">
      <c r="A1004" s="348">
        <f t="shared" ca="1" si="441"/>
        <v>1E-4</v>
      </c>
      <c r="B1004" s="305">
        <f t="shared" ca="1" si="442"/>
        <v>42.912100000000677</v>
      </c>
      <c r="D1004" s="308">
        <f t="shared" ca="1" si="443"/>
        <v>-0.41746948658948962</v>
      </c>
      <c r="E1004" s="309">
        <f t="shared" ca="1" si="444"/>
        <v>-1.1008652600075095</v>
      </c>
      <c r="F1004" s="305">
        <f t="shared" ca="1" si="445"/>
        <v>1.1773636196709552</v>
      </c>
      <c r="G1004" s="308">
        <f t="shared" ca="1" si="446"/>
        <v>6.4589201503797122</v>
      </c>
      <c r="H1004" s="309">
        <f t="shared" ca="1" si="447"/>
        <v>-134.74521422302203</v>
      </c>
      <c r="I1004" s="305">
        <f t="shared" ca="1" si="448"/>
        <v>134.89992737402449</v>
      </c>
      <c r="J1004" s="308">
        <f t="shared" ca="1" si="449"/>
        <v>638.40045476391947</v>
      </c>
      <c r="K1004" s="309">
        <f t="shared" ca="1" si="450"/>
        <v>-11.214602667811162</v>
      </c>
      <c r="L1004" s="305">
        <f t="shared" ca="1" si="435"/>
        <v>638.49894906395582</v>
      </c>
      <c r="M1004" s="308">
        <f t="shared" ca="1" si="451"/>
        <v>-1.5228986696385183</v>
      </c>
      <c r="N1004" s="305">
        <f t="shared" ca="1" si="452"/>
        <v>-87.255666396374934</v>
      </c>
      <c r="P1004" s="312">
        <f t="shared" ca="1" si="453"/>
        <v>23</v>
      </c>
      <c r="Q1004" s="305">
        <f t="shared" ca="1" si="454"/>
        <v>0</v>
      </c>
      <c r="R1004" s="308">
        <f t="shared" ca="1" si="455"/>
        <v>0</v>
      </c>
      <c r="S1004" s="309">
        <f t="shared" ca="1" si="456"/>
        <v>10.637999999999975</v>
      </c>
      <c r="T1004" s="305">
        <f t="shared" ca="1" si="436"/>
        <v>104.35877999999975</v>
      </c>
      <c r="U1004" s="313">
        <f t="shared" ca="1" si="437"/>
        <v>0</v>
      </c>
      <c r="V1004" s="308">
        <f t="shared" ca="1" si="438"/>
        <v>1.2263745595837858</v>
      </c>
      <c r="W1004" s="305">
        <f ca="1">1/2*Rho*Sref*Cx*vit_xz^2</f>
        <v>92.75442763715769</v>
      </c>
      <c r="Y1004" s="317" t="str">
        <f ca="1">IF(AND(pos_z&lt;=0,K1003&gt;0),"Impact balistique","") &amp; IF(AND(H1005&lt;0,vit_z&gt;=0),"Apogée","") &amp; IF(AND(Poussee=0,Q1003&gt;0),"Fin de propulsion","") &amp; IF(AND(L1005&gt;L_rampe,pos_xz&lt;=L_rampe),"Sortie de rampe","")</f>
        <v/>
      </c>
      <c r="Z1004" s="318" t="str">
        <f t="shared" ca="1" si="458"/>
        <v/>
      </c>
      <c r="AA1004" s="319" t="str">
        <f t="shared" ca="1" si="459"/>
        <v/>
      </c>
      <c r="AC1004" s="312" t="e">
        <f t="shared" ca="1" si="460"/>
        <v>#N/A</v>
      </c>
      <c r="AD1004" s="325" t="e">
        <f t="shared" ca="1" si="461"/>
        <v>#N/A</v>
      </c>
      <c r="AE1004" s="326" t="e">
        <f t="shared" ca="1" si="440"/>
        <v>#N/A</v>
      </c>
      <c r="AG1004" s="308">
        <f t="shared" ca="1" si="462"/>
        <v>1.079614377743221</v>
      </c>
      <c r="AH1004" s="305">
        <f t="shared" ca="1" si="463"/>
        <v>-8.7191346297426424</v>
      </c>
    </row>
    <row r="1005" spans="1:34" x14ac:dyDescent="0.25">
      <c r="Y1005" s="303"/>
    </row>
    <row r="1010" spans="12:12" x14ac:dyDescent="0.25">
      <c r="L1010"/>
    </row>
    <row r="1034" spans="5:25" x14ac:dyDescent="0.25">
      <c r="E1034" s="300" t="s">
        <v>257</v>
      </c>
      <c r="J1034" s="301" t="s">
        <v>249</v>
      </c>
      <c r="T1034" s="300" t="s">
        <v>248</v>
      </c>
      <c r="Y1034" s="302" t="s">
        <v>251</v>
      </c>
    </row>
    <row r="1035" spans="5:25" x14ac:dyDescent="0.25">
      <c r="E1035" s="299" t="s">
        <v>261</v>
      </c>
    </row>
    <row r="1036" spans="5:25" x14ac:dyDescent="0.25">
      <c r="E1036" s="299"/>
      <c r="T1036" s="299" t="s">
        <v>254</v>
      </c>
    </row>
    <row r="1037" spans="5:25" x14ac:dyDescent="0.25">
      <c r="E1037" s="299"/>
      <c r="T1037" s="299" t="s">
        <v>258</v>
      </c>
    </row>
    <row r="1038" spans="5:25" x14ac:dyDescent="0.25">
      <c r="E1038" s="299"/>
      <c r="T1038" s="299" t="s">
        <v>259</v>
      </c>
    </row>
    <row r="1039" spans="5:25" x14ac:dyDescent="0.25">
      <c r="E1039" s="299"/>
      <c r="T1039" s="299" t="s">
        <v>265</v>
      </c>
    </row>
    <row r="1040" spans="5:25" x14ac:dyDescent="0.25">
      <c r="E1040" s="299" t="s">
        <v>260</v>
      </c>
      <c r="T1040" s="299" t="s">
        <v>250</v>
      </c>
    </row>
    <row r="1041" spans="5:20" x14ac:dyDescent="0.25">
      <c r="E1041" s="299"/>
      <c r="T1041" s="299" t="s">
        <v>266</v>
      </c>
    </row>
    <row r="1042" spans="5:20" x14ac:dyDescent="0.25">
      <c r="E1042" s="299"/>
      <c r="R1042" s="303"/>
      <c r="T1042" s="299"/>
    </row>
    <row r="1043" spans="5:20" x14ac:dyDescent="0.25">
      <c r="E1043" s="299"/>
    </row>
    <row r="1044" spans="5:20" x14ac:dyDescent="0.25">
      <c r="E1044" s="299"/>
    </row>
    <row r="1045" spans="5:20" x14ac:dyDescent="0.25">
      <c r="E1045" s="299" t="s">
        <v>263</v>
      </c>
      <c r="R1045" s="303"/>
      <c r="T1045" s="299"/>
    </row>
    <row r="1046" spans="5:20" x14ac:dyDescent="0.25">
      <c r="E1046" s="299"/>
    </row>
    <row r="1047" spans="5:20" x14ac:dyDescent="0.25">
      <c r="E1047" s="299"/>
    </row>
    <row r="1048" spans="5:20" x14ac:dyDescent="0.25">
      <c r="E1048" s="299"/>
      <c r="T1048" s="298" t="s">
        <v>256</v>
      </c>
    </row>
    <row r="1049" spans="5:20" x14ac:dyDescent="0.25">
      <c r="E1049" s="299"/>
    </row>
    <row r="1050" spans="5:20" x14ac:dyDescent="0.25">
      <c r="E1050" s="299" t="s">
        <v>264</v>
      </c>
    </row>
    <row r="1053" spans="5:20" x14ac:dyDescent="0.25">
      <c r="T1053" s="298" t="s">
        <v>271</v>
      </c>
    </row>
    <row r="1055" spans="5:20" x14ac:dyDescent="0.25">
      <c r="E1055" s="299" t="s">
        <v>253</v>
      </c>
    </row>
    <row r="1058" spans="5:20" x14ac:dyDescent="0.25">
      <c r="T1058" s="299" t="s">
        <v>272</v>
      </c>
    </row>
    <row r="1060" spans="5:20" x14ac:dyDescent="0.25">
      <c r="E1060" s="299" t="s">
        <v>262</v>
      </c>
    </row>
    <row r="1061" spans="5:20" x14ac:dyDescent="0.25">
      <c r="E1061" s="299"/>
    </row>
    <row r="1062" spans="5:20" x14ac:dyDescent="0.25">
      <c r="E1062" s="299"/>
    </row>
    <row r="1063" spans="5:20" x14ac:dyDescent="0.25">
      <c r="E1063" s="299"/>
    </row>
    <row r="1064" spans="5:20" x14ac:dyDescent="0.25">
      <c r="E1064" s="299"/>
    </row>
    <row r="1065" spans="5:20" x14ac:dyDescent="0.25">
      <c r="E1065" s="299" t="s">
        <v>252</v>
      </c>
    </row>
    <row r="1066" spans="5:20" x14ac:dyDescent="0.25">
      <c r="E1066" s="299"/>
    </row>
    <row r="1067" spans="5:20" x14ac:dyDescent="0.25">
      <c r="E1067" s="299"/>
    </row>
    <row r="1068" spans="5:20" x14ac:dyDescent="0.25">
      <c r="E1068" s="299"/>
    </row>
    <row r="1069" spans="5:20" x14ac:dyDescent="0.25">
      <c r="E1069" s="299"/>
    </row>
    <row r="1070" spans="5:20" x14ac:dyDescent="0.25">
      <c r="E1070" s="299" t="s">
        <v>255</v>
      </c>
    </row>
    <row r="1071" spans="5:20" x14ac:dyDescent="0.25">
      <c r="E1071" s="299"/>
    </row>
    <row r="1072" spans="5:20" x14ac:dyDescent="0.25">
      <c r="E1072" s="299"/>
    </row>
    <row r="1073" spans="5:5" x14ac:dyDescent="0.25">
      <c r="E1073" s="299"/>
    </row>
    <row r="1074" spans="5:5" x14ac:dyDescent="0.25">
      <c r="E1074" s="299"/>
    </row>
    <row r="1075" spans="5:5" x14ac:dyDescent="0.25">
      <c r="E1075" s="299" t="s">
        <v>267</v>
      </c>
    </row>
  </sheetData>
  <sheetProtection password="C6AC" sheet="1"/>
  <mergeCells count="5">
    <mergeCell ref="D1:N1"/>
    <mergeCell ref="P1:W1"/>
    <mergeCell ref="AG1:AH1"/>
    <mergeCell ref="Y2:AA2"/>
    <mergeCell ref="AC1:AE1"/>
  </mergeCells>
  <phoneticPr fontId="8" type="noConversion"/>
  <conditionalFormatting sqref="A4:XFD1004">
    <cfRule type="expression" dxfId="5" priority="7" stopIfTrue="1">
      <formula>OR($Y4="Sortie de rampe",$Z4="Para")</formula>
    </cfRule>
    <cfRule type="expression" dxfId="4" priority="8" stopIfTrue="1">
      <formula>OR($Y4="Fin de propulsion",$Y4="Impact balistique",$AA4="Satellite")</formula>
    </cfRule>
    <cfRule type="expression" dxfId="3" priority="9" stopIfTrue="1">
      <formula>$Y4="Apogée"</formula>
    </cfRule>
  </conditionalFormatting>
  <hyperlinks>
    <hyperlink ref="J1034" r:id="rId1" xr:uid="{6272E4DF-CCF5-A04C-88E5-C8DD9E4BDC0A}"/>
    <hyperlink ref="Y1034" r:id="rId2" xr:uid="{8F438075-8076-1C44-B4BD-DE0BB9A090FB}"/>
  </hyperlinks>
  <pageMargins left="0.39370078740157483" right="0.39370078740157483" top="0.39370078740157483" bottom="0.39370078740157483" header="0" footer="0"/>
  <pageSetup paperSize="9" scale="29" firstPageNumber="0" fitToHeight="5" orientation="portrait" horizontalDpi="300" verticalDpi="300"/>
  <headerFooter alignWithMargins="0"/>
  <drawing r:id="rId3"/>
  <legacyDrawing r:id="rId4"/>
  <oleObjects>
    <mc:AlternateContent xmlns:mc="http://schemas.openxmlformats.org/markup-compatibility/2006">
      <mc:Choice Requires="x14">
        <oleObject progId="Equation.3" shapeId="3091" r:id="rId5">
          <objectPr defaultSize="0" autoPict="0" r:id="rId6">
            <anchor moveWithCells="1">
              <from>
                <xdr:col>18</xdr:col>
                <xdr:colOff>12700</xdr:colOff>
                <xdr:row>1010</xdr:row>
                <xdr:rowOff>88900</xdr:rowOff>
              </from>
              <to>
                <xdr:col>20</xdr:col>
                <xdr:colOff>266700</xdr:colOff>
                <xdr:row>1013</xdr:row>
                <xdr:rowOff>25400</xdr:rowOff>
              </to>
            </anchor>
          </objectPr>
        </oleObject>
      </mc:Choice>
      <mc:Fallback>
        <oleObject progId="Equation.3" shapeId="3091" r:id="rId5"/>
      </mc:Fallback>
    </mc:AlternateContent>
    <mc:AlternateContent xmlns:mc="http://schemas.openxmlformats.org/markup-compatibility/2006">
      <mc:Choice Requires="x14">
        <oleObject progId="Equation.3" shapeId="3092" r:id="rId7">
          <objectPr defaultSize="0" autoPict="0" r:id="rId8">
            <anchor moveWithCells="1">
              <from>
                <xdr:col>21</xdr:col>
                <xdr:colOff>25400</xdr:colOff>
                <xdr:row>1024</xdr:row>
                <xdr:rowOff>139700</xdr:rowOff>
              </from>
              <to>
                <xdr:col>25</xdr:col>
                <xdr:colOff>406400</xdr:colOff>
                <xdr:row>1026</xdr:row>
                <xdr:rowOff>63500</xdr:rowOff>
              </to>
            </anchor>
          </objectPr>
        </oleObject>
      </mc:Choice>
      <mc:Fallback>
        <oleObject progId="Equation.3" shapeId="3092" r:id="rId7"/>
      </mc:Fallback>
    </mc:AlternateContent>
    <mc:AlternateContent xmlns:mc="http://schemas.openxmlformats.org/markup-compatibility/2006">
      <mc:Choice Requires="x14">
        <oleObject progId="Equation.3" shapeId="3096" r:id="rId9">
          <objectPr defaultSize="0" autoPict="0" r:id="rId10">
            <anchor moveWithCells="1">
              <from>
                <xdr:col>16</xdr:col>
                <xdr:colOff>228600</xdr:colOff>
                <xdr:row>1006</xdr:row>
                <xdr:rowOff>25400</xdr:rowOff>
              </from>
              <to>
                <xdr:col>24</xdr:col>
                <xdr:colOff>139700</xdr:colOff>
                <xdr:row>1007</xdr:row>
                <xdr:rowOff>88900</xdr:rowOff>
              </to>
            </anchor>
          </objectPr>
        </oleObject>
      </mc:Choice>
      <mc:Fallback>
        <oleObject progId="Equation.3" shapeId="3096" r:id="rId9"/>
      </mc:Fallback>
    </mc:AlternateContent>
    <mc:AlternateContent xmlns:mc="http://schemas.openxmlformats.org/markup-compatibility/2006">
      <mc:Choice Requires="x14">
        <oleObject progId="Equation.3" shapeId="3112" r:id="rId11">
          <objectPr defaultSize="0" autoPict="0" r:id="rId12">
            <anchor moveWithCells="1">
              <from>
                <xdr:col>7</xdr:col>
                <xdr:colOff>12700</xdr:colOff>
                <xdr:row>1017</xdr:row>
                <xdr:rowOff>139700</xdr:rowOff>
              </from>
              <to>
                <xdr:col>10</xdr:col>
                <xdr:colOff>533400</xdr:colOff>
                <xdr:row>1019</xdr:row>
                <xdr:rowOff>114300</xdr:rowOff>
              </to>
            </anchor>
          </objectPr>
        </oleObject>
      </mc:Choice>
      <mc:Fallback>
        <oleObject progId="Equation.3" shapeId="3112" r:id="rId11"/>
      </mc:Fallback>
    </mc:AlternateContent>
    <mc:AlternateContent xmlns:mc="http://schemas.openxmlformats.org/markup-compatibility/2006">
      <mc:Choice Requires="x14">
        <oleObject progId="Equation.3" shapeId="3114" r:id="rId13">
          <objectPr defaultSize="0" autoPict="0" r:id="rId14">
            <anchor moveWithCells="1">
              <from>
                <xdr:col>7</xdr:col>
                <xdr:colOff>12700</xdr:colOff>
                <xdr:row>1014</xdr:row>
                <xdr:rowOff>152400</xdr:rowOff>
              </from>
              <to>
                <xdr:col>11</xdr:col>
                <xdr:colOff>241300</xdr:colOff>
                <xdr:row>1016</xdr:row>
                <xdr:rowOff>63500</xdr:rowOff>
              </to>
            </anchor>
          </objectPr>
        </oleObject>
      </mc:Choice>
      <mc:Fallback>
        <oleObject progId="Equation.3" shapeId="3114" r:id="rId13"/>
      </mc:Fallback>
    </mc:AlternateContent>
    <mc:AlternateContent xmlns:mc="http://schemas.openxmlformats.org/markup-compatibility/2006">
      <mc:Choice Requires="x14">
        <oleObject progId="Equation.3" shapeId="3115" r:id="rId15">
          <objectPr defaultSize="0" autoPict="0" r:id="rId16">
            <anchor moveWithCells="1">
              <from>
                <xdr:col>7</xdr:col>
                <xdr:colOff>12700</xdr:colOff>
                <xdr:row>1016</xdr:row>
                <xdr:rowOff>63500</xdr:rowOff>
              </from>
              <to>
                <xdr:col>11</xdr:col>
                <xdr:colOff>215900</xdr:colOff>
                <xdr:row>1017</xdr:row>
                <xdr:rowOff>139700</xdr:rowOff>
              </to>
            </anchor>
          </objectPr>
        </oleObject>
      </mc:Choice>
      <mc:Fallback>
        <oleObject progId="Equation.3" shapeId="3115" r:id="rId15"/>
      </mc:Fallback>
    </mc:AlternateContent>
    <mc:AlternateContent xmlns:mc="http://schemas.openxmlformats.org/markup-compatibility/2006">
      <mc:Choice Requires="x14">
        <oleObject progId="Equation.3" shapeId="3119" r:id="rId17">
          <objectPr defaultSize="0" autoPict="0" r:id="rId18">
            <anchor moveWithCells="1">
              <from>
                <xdr:col>10</xdr:col>
                <xdr:colOff>0</xdr:colOff>
                <xdr:row>1022</xdr:row>
                <xdr:rowOff>63500</xdr:rowOff>
              </from>
              <to>
                <xdr:col>17</xdr:col>
                <xdr:colOff>241300</xdr:colOff>
                <xdr:row>1024</xdr:row>
                <xdr:rowOff>139700</xdr:rowOff>
              </to>
            </anchor>
          </objectPr>
        </oleObject>
      </mc:Choice>
      <mc:Fallback>
        <oleObject progId="Equation.3" shapeId="3119" r:id="rId17"/>
      </mc:Fallback>
    </mc:AlternateContent>
    <mc:AlternateContent xmlns:mc="http://schemas.openxmlformats.org/markup-compatibility/2006">
      <mc:Choice Requires="x14">
        <oleObject progId="Equation.3" shapeId="3120" r:id="rId19">
          <objectPr defaultSize="0" autoPict="0" r:id="rId20">
            <anchor moveWithCells="1">
              <from>
                <xdr:col>4</xdr:col>
                <xdr:colOff>0</xdr:colOff>
                <xdr:row>1008</xdr:row>
                <xdr:rowOff>0</xdr:rowOff>
              </from>
              <to>
                <xdr:col>11</xdr:col>
                <xdr:colOff>215900</xdr:colOff>
                <xdr:row>1010</xdr:row>
                <xdr:rowOff>76200</xdr:rowOff>
              </to>
            </anchor>
          </objectPr>
        </oleObject>
      </mc:Choice>
      <mc:Fallback>
        <oleObject progId="Equation.3" shapeId="3120" r:id="rId19"/>
      </mc:Fallback>
    </mc:AlternateContent>
    <mc:AlternateContent xmlns:mc="http://schemas.openxmlformats.org/markup-compatibility/2006">
      <mc:Choice Requires="x14">
        <oleObject progId="Equation.3" shapeId="3121" r:id="rId21">
          <objectPr defaultSize="0" autoPict="0" r:id="rId22">
            <anchor moveWithCells="1">
              <from>
                <xdr:col>4</xdr:col>
                <xdr:colOff>0</xdr:colOff>
                <xdr:row>1010</xdr:row>
                <xdr:rowOff>88900</xdr:rowOff>
              </from>
              <to>
                <xdr:col>12</xdr:col>
                <xdr:colOff>215900</xdr:colOff>
                <xdr:row>1013</xdr:row>
                <xdr:rowOff>0</xdr:rowOff>
              </to>
            </anchor>
          </objectPr>
        </oleObject>
      </mc:Choice>
      <mc:Fallback>
        <oleObject progId="Equation.3" shapeId="3121" r:id="rId21"/>
      </mc:Fallback>
    </mc:AlternateContent>
    <mc:AlternateContent xmlns:mc="http://schemas.openxmlformats.org/markup-compatibility/2006">
      <mc:Choice Requires="x14">
        <oleObject progId="Equation.3" shapeId="3122" r:id="rId23">
          <objectPr defaultSize="0" autoPict="0" r:id="rId24">
            <anchor moveWithCells="1">
              <from>
                <xdr:col>1</xdr:col>
                <xdr:colOff>12700</xdr:colOff>
                <xdr:row>1006</xdr:row>
                <xdr:rowOff>88900</xdr:rowOff>
              </from>
              <to>
                <xdr:col>3</xdr:col>
                <xdr:colOff>495300</xdr:colOff>
                <xdr:row>1007</xdr:row>
                <xdr:rowOff>152400</xdr:rowOff>
              </to>
            </anchor>
          </objectPr>
        </oleObject>
      </mc:Choice>
      <mc:Fallback>
        <oleObject progId="Equation.3" shapeId="3122" r:id="rId23"/>
      </mc:Fallback>
    </mc:AlternateContent>
    <mc:AlternateContent xmlns:mc="http://schemas.openxmlformats.org/markup-compatibility/2006">
      <mc:Choice Requires="x14">
        <oleObject progId="Equation.3" shapeId="3124" r:id="rId25">
          <objectPr defaultSize="0" autoPict="0" r:id="rId26">
            <anchor moveWithCells="1">
              <from>
                <xdr:col>10</xdr:col>
                <xdr:colOff>0</xdr:colOff>
                <xdr:row>1024</xdr:row>
                <xdr:rowOff>152400</xdr:rowOff>
              </from>
              <to>
                <xdr:col>16</xdr:col>
                <xdr:colOff>0</xdr:colOff>
                <xdr:row>1026</xdr:row>
                <xdr:rowOff>127000</xdr:rowOff>
              </to>
            </anchor>
          </objectPr>
        </oleObject>
      </mc:Choice>
      <mc:Fallback>
        <oleObject progId="Equation.3" shapeId="3124" r:id="rId25"/>
      </mc:Fallback>
    </mc:AlternateContent>
    <mc:AlternateContent xmlns:mc="http://schemas.openxmlformats.org/markup-compatibility/2006">
      <mc:Choice Requires="x14">
        <oleObject progId="Equation.3" shapeId="3125" r:id="rId27">
          <objectPr defaultSize="0" autoPict="0" r:id="rId28">
            <anchor moveWithCells="1">
              <from>
                <xdr:col>18</xdr:col>
                <xdr:colOff>12700</xdr:colOff>
                <xdr:row>1013</xdr:row>
                <xdr:rowOff>25400</xdr:rowOff>
              </from>
              <to>
                <xdr:col>21</xdr:col>
                <xdr:colOff>25400</xdr:colOff>
                <xdr:row>1014</xdr:row>
                <xdr:rowOff>101600</xdr:rowOff>
              </to>
            </anchor>
          </objectPr>
        </oleObject>
      </mc:Choice>
      <mc:Fallback>
        <oleObject progId="Equation.3" shapeId="3125" r:id="rId27"/>
      </mc:Fallback>
    </mc:AlternateContent>
    <mc:AlternateContent xmlns:mc="http://schemas.openxmlformats.org/markup-compatibility/2006">
      <mc:Choice Requires="x14">
        <oleObject progId="Equation.3" shapeId="3127" r:id="rId29">
          <objectPr defaultSize="0" autoPict="0" r:id="rId30">
            <anchor moveWithCells="1">
              <from>
                <xdr:col>1</xdr:col>
                <xdr:colOff>12700</xdr:colOff>
                <xdr:row>1005</xdr:row>
                <xdr:rowOff>12700</xdr:rowOff>
              </from>
              <to>
                <xdr:col>10</xdr:col>
                <xdr:colOff>368300</xdr:colOff>
                <xdr:row>1006</xdr:row>
                <xdr:rowOff>76200</xdr:rowOff>
              </to>
            </anchor>
          </objectPr>
        </oleObject>
      </mc:Choice>
      <mc:Fallback>
        <oleObject progId="Equation.3" shapeId="3127" r:id="rId29"/>
      </mc:Fallback>
    </mc:AlternateContent>
    <mc:AlternateContent xmlns:mc="http://schemas.openxmlformats.org/markup-compatibility/2006">
      <mc:Choice Requires="x14">
        <oleObject progId="Equation.3" shapeId="3129" r:id="rId31">
          <objectPr defaultSize="0" autoPict="0" r:id="rId32">
            <anchor moveWithCells="1">
              <from>
                <xdr:col>4</xdr:col>
                <xdr:colOff>0</xdr:colOff>
                <xdr:row>1013</xdr:row>
                <xdr:rowOff>12700</xdr:rowOff>
              </from>
              <to>
                <xdr:col>8</xdr:col>
                <xdr:colOff>177800</xdr:colOff>
                <xdr:row>1014</xdr:row>
                <xdr:rowOff>139700</xdr:rowOff>
              </to>
            </anchor>
          </objectPr>
        </oleObject>
      </mc:Choice>
      <mc:Fallback>
        <oleObject progId="Equation.3" shapeId="3129" r:id="rId31"/>
      </mc:Fallback>
    </mc:AlternateContent>
    <mc:AlternateContent xmlns:mc="http://schemas.openxmlformats.org/markup-compatibility/2006">
      <mc:Choice Requires="x14">
        <oleObject progId="Equation.3" shapeId="3131" r:id="rId33">
          <objectPr defaultSize="0" autoPict="0" r:id="rId34">
            <anchor moveWithCells="1">
              <from>
                <xdr:col>20</xdr:col>
                <xdr:colOff>12700</xdr:colOff>
                <xdr:row>1018</xdr:row>
                <xdr:rowOff>50800</xdr:rowOff>
              </from>
              <to>
                <xdr:col>24</xdr:col>
                <xdr:colOff>977900</xdr:colOff>
                <xdr:row>1019</xdr:row>
                <xdr:rowOff>114300</xdr:rowOff>
              </to>
            </anchor>
          </objectPr>
        </oleObject>
      </mc:Choice>
      <mc:Fallback>
        <oleObject progId="Equation.3" shapeId="3131" r:id="rId33"/>
      </mc:Fallback>
    </mc:AlternateContent>
    <mc:AlternateContent xmlns:mc="http://schemas.openxmlformats.org/markup-compatibility/2006">
      <mc:Choice Requires="x14">
        <oleObject progId="Equation.3" shapeId="3134" r:id="rId35">
          <objectPr defaultSize="0" autoPict="0" r:id="rId36">
            <anchor moveWithCells="1">
              <from>
                <xdr:col>10</xdr:col>
                <xdr:colOff>0</xdr:colOff>
                <xdr:row>1019</xdr:row>
                <xdr:rowOff>127000</xdr:rowOff>
              </from>
              <to>
                <xdr:col>20</xdr:col>
                <xdr:colOff>520700</xdr:colOff>
                <xdr:row>1022</xdr:row>
                <xdr:rowOff>50800</xdr:rowOff>
              </to>
            </anchor>
          </objectPr>
        </oleObject>
      </mc:Choice>
      <mc:Fallback>
        <oleObject progId="Equation.3" shapeId="3134" r:id="rId35"/>
      </mc:Fallback>
    </mc:AlternateContent>
    <mc:AlternateContent xmlns:mc="http://schemas.openxmlformats.org/markup-compatibility/2006">
      <mc:Choice Requires="x14">
        <oleObject progId="Equation.3" shapeId="3135" r:id="rId37">
          <objectPr defaultSize="0" autoPict="0" r:id="rId38">
            <anchor moveWithCells="1">
              <from>
                <xdr:col>12</xdr:col>
                <xdr:colOff>0</xdr:colOff>
                <xdr:row>1018</xdr:row>
                <xdr:rowOff>50800</xdr:rowOff>
              </from>
              <to>
                <xdr:col>19</xdr:col>
                <xdr:colOff>165100</xdr:colOff>
                <xdr:row>1019</xdr:row>
                <xdr:rowOff>114300</xdr:rowOff>
              </to>
            </anchor>
          </objectPr>
        </oleObject>
      </mc:Choice>
      <mc:Fallback>
        <oleObject progId="Equation.3" shapeId="3135" r:id="rId37"/>
      </mc:Fallback>
    </mc:AlternateContent>
    <mc:AlternateContent xmlns:mc="http://schemas.openxmlformats.org/markup-compatibility/2006">
      <mc:Choice Requires="x14">
        <oleObject progId="Equation.3" shapeId="3141" r:id="rId39">
          <objectPr defaultSize="0" autoPict="0" r:id="rId40">
            <anchor moveWithCells="1">
              <from>
                <xdr:col>33</xdr:col>
                <xdr:colOff>12700</xdr:colOff>
                <xdr:row>1007</xdr:row>
                <xdr:rowOff>101600</xdr:rowOff>
              </from>
              <to>
                <xdr:col>37</xdr:col>
                <xdr:colOff>254000</xdr:colOff>
                <xdr:row>1010</xdr:row>
                <xdr:rowOff>63500</xdr:rowOff>
              </to>
            </anchor>
          </objectPr>
        </oleObject>
      </mc:Choice>
      <mc:Fallback>
        <oleObject progId="Equation.3" shapeId="3141" r:id="rId39"/>
      </mc:Fallback>
    </mc:AlternateContent>
    <mc:AlternateContent xmlns:mc="http://schemas.openxmlformats.org/markup-compatibility/2006">
      <mc:Choice Requires="x14">
        <oleObject progId="Equation.3" shapeId="3142" r:id="rId41">
          <objectPr defaultSize="0" autoPict="0" r:id="rId42">
            <anchor moveWithCells="1">
              <from>
                <xdr:col>33</xdr:col>
                <xdr:colOff>12700</xdr:colOff>
                <xdr:row>1010</xdr:row>
                <xdr:rowOff>76200</xdr:rowOff>
              </from>
              <to>
                <xdr:col>35</xdr:col>
                <xdr:colOff>660400</xdr:colOff>
                <xdr:row>1013</xdr:row>
                <xdr:rowOff>38100</xdr:rowOff>
              </to>
            </anchor>
          </objectPr>
        </oleObject>
      </mc:Choice>
      <mc:Fallback>
        <oleObject progId="Equation.3" shapeId="3142" r:id="rId41"/>
      </mc:Fallback>
    </mc:AlternateContent>
    <mc:AlternateContent xmlns:mc="http://schemas.openxmlformats.org/markup-compatibility/2006">
      <mc:Choice Requires="x14">
        <oleObject progId="Equation.3" shapeId="3157" r:id="rId43">
          <objectPr defaultSize="0" autoPict="0" r:id="rId44">
            <anchor moveWithCells="1">
              <from>
                <xdr:col>4</xdr:col>
                <xdr:colOff>0</xdr:colOff>
                <xdr:row>1035</xdr:row>
                <xdr:rowOff>25400</xdr:rowOff>
              </from>
              <to>
                <xdr:col>11</xdr:col>
                <xdr:colOff>508000</xdr:colOff>
                <xdr:row>1038</xdr:row>
                <xdr:rowOff>25400</xdr:rowOff>
              </to>
            </anchor>
          </objectPr>
        </oleObject>
      </mc:Choice>
      <mc:Fallback>
        <oleObject progId="Equation.3" shapeId="3157" r:id="rId43"/>
      </mc:Fallback>
    </mc:AlternateContent>
    <mc:AlternateContent xmlns:mc="http://schemas.openxmlformats.org/markup-compatibility/2006">
      <mc:Choice Requires="x14">
        <oleObject progId="Equation.3" shapeId="3158" r:id="rId45">
          <objectPr defaultSize="0" autoPict="0" r:id="rId46">
            <anchor moveWithCells="1">
              <from>
                <xdr:col>4</xdr:col>
                <xdr:colOff>0</xdr:colOff>
                <xdr:row>1040</xdr:row>
                <xdr:rowOff>25400</xdr:rowOff>
              </from>
              <to>
                <xdr:col>12</xdr:col>
                <xdr:colOff>25400</xdr:colOff>
                <xdr:row>1043</xdr:row>
                <xdr:rowOff>25400</xdr:rowOff>
              </to>
            </anchor>
          </objectPr>
        </oleObject>
      </mc:Choice>
      <mc:Fallback>
        <oleObject progId="Equation.3" shapeId="3158" r:id="rId45"/>
      </mc:Fallback>
    </mc:AlternateContent>
    <mc:AlternateContent xmlns:mc="http://schemas.openxmlformats.org/markup-compatibility/2006">
      <mc:Choice Requires="x14">
        <oleObject progId="Equation.3" shapeId="3161" r:id="rId47">
          <objectPr defaultSize="0" autoPict="0" r:id="rId48">
            <anchor moveWithCells="1">
              <from>
                <xdr:col>18</xdr:col>
                <xdr:colOff>12700</xdr:colOff>
                <xdr:row>1014</xdr:row>
                <xdr:rowOff>101600</xdr:rowOff>
              </from>
              <to>
                <xdr:col>20</xdr:col>
                <xdr:colOff>304800</xdr:colOff>
                <xdr:row>1016</xdr:row>
                <xdr:rowOff>12700</xdr:rowOff>
              </to>
            </anchor>
          </objectPr>
        </oleObject>
      </mc:Choice>
      <mc:Fallback>
        <oleObject progId="Equation.3" shapeId="3161" r:id="rId47"/>
      </mc:Fallback>
    </mc:AlternateContent>
    <mc:AlternateContent xmlns:mc="http://schemas.openxmlformats.org/markup-compatibility/2006">
      <mc:Choice Requires="x14">
        <oleObject progId="Equation.3" shapeId="3162" r:id="rId49">
          <objectPr defaultSize="0" autoPict="0" r:id="rId50">
            <anchor moveWithCells="1">
              <from>
                <xdr:col>16</xdr:col>
                <xdr:colOff>228600</xdr:colOff>
                <xdr:row>1007</xdr:row>
                <xdr:rowOff>101600</xdr:rowOff>
              </from>
              <to>
                <xdr:col>32</xdr:col>
                <xdr:colOff>152400</xdr:colOff>
                <xdr:row>1010</xdr:row>
                <xdr:rowOff>76200</xdr:rowOff>
              </to>
            </anchor>
          </objectPr>
        </oleObject>
      </mc:Choice>
      <mc:Fallback>
        <oleObject progId="Equation.3" shapeId="3162" r:id="rId49"/>
      </mc:Fallback>
    </mc:AlternateContent>
    <mc:AlternateContent xmlns:mc="http://schemas.openxmlformats.org/markup-compatibility/2006">
      <mc:Choice Requires="x14">
        <oleObject progId="Equation.3" shapeId="3167" r:id="rId51">
          <objectPr defaultSize="0" autoPict="0" r:id="rId52">
            <anchor moveWithCells="1">
              <from>
                <xdr:col>4</xdr:col>
                <xdr:colOff>0</xdr:colOff>
                <xdr:row>1055</xdr:row>
                <xdr:rowOff>25400</xdr:rowOff>
              </from>
              <to>
                <xdr:col>12</xdr:col>
                <xdr:colOff>304800</xdr:colOff>
                <xdr:row>1058</xdr:row>
                <xdr:rowOff>50800</xdr:rowOff>
              </to>
            </anchor>
          </objectPr>
        </oleObject>
      </mc:Choice>
      <mc:Fallback>
        <oleObject progId="Equation.3" shapeId="3167" r:id="rId51"/>
      </mc:Fallback>
    </mc:AlternateContent>
    <mc:AlternateContent xmlns:mc="http://schemas.openxmlformats.org/markup-compatibility/2006">
      <mc:Choice Requires="x14">
        <oleObject progId="Equation.3" shapeId="3168" r:id="rId53">
          <objectPr defaultSize="0" autoPict="0" r:id="rId54">
            <anchor moveWithCells="1">
              <from>
                <xdr:col>4</xdr:col>
                <xdr:colOff>0</xdr:colOff>
                <xdr:row>1060</xdr:row>
                <xdr:rowOff>25400</xdr:rowOff>
              </from>
              <to>
                <xdr:col>15</xdr:col>
                <xdr:colOff>50800</xdr:colOff>
                <xdr:row>1063</xdr:row>
                <xdr:rowOff>50800</xdr:rowOff>
              </to>
            </anchor>
          </objectPr>
        </oleObject>
      </mc:Choice>
      <mc:Fallback>
        <oleObject progId="Equation.3" shapeId="3168" r:id="rId53"/>
      </mc:Fallback>
    </mc:AlternateContent>
    <mc:AlternateContent xmlns:mc="http://schemas.openxmlformats.org/markup-compatibility/2006">
      <mc:Choice Requires="x14">
        <oleObject progId="Equation.3" shapeId="3169" r:id="rId55">
          <objectPr defaultSize="0" autoPict="0" r:id="rId56">
            <anchor moveWithCells="1">
              <from>
                <xdr:col>4</xdr:col>
                <xdr:colOff>0</xdr:colOff>
                <xdr:row>1065</xdr:row>
                <xdr:rowOff>25400</xdr:rowOff>
              </from>
              <to>
                <xdr:col>16</xdr:col>
                <xdr:colOff>609600</xdr:colOff>
                <xdr:row>1068</xdr:row>
                <xdr:rowOff>50800</xdr:rowOff>
              </to>
            </anchor>
          </objectPr>
        </oleObject>
      </mc:Choice>
      <mc:Fallback>
        <oleObject progId="Equation.3" shapeId="3169" r:id="rId55"/>
      </mc:Fallback>
    </mc:AlternateContent>
    <mc:AlternateContent xmlns:mc="http://schemas.openxmlformats.org/markup-compatibility/2006">
      <mc:Choice Requires="x14">
        <oleObject progId="Equation.3" shapeId="3173" r:id="rId57">
          <objectPr defaultSize="0" autoPict="0" r:id="rId58">
            <anchor moveWithCells="1">
              <from>
                <xdr:col>4</xdr:col>
                <xdr:colOff>0</xdr:colOff>
                <xdr:row>1045</xdr:row>
                <xdr:rowOff>25400</xdr:rowOff>
              </from>
              <to>
                <xdr:col>16</xdr:col>
                <xdr:colOff>101600</xdr:colOff>
                <xdr:row>1048</xdr:row>
                <xdr:rowOff>25400</xdr:rowOff>
              </to>
            </anchor>
          </objectPr>
        </oleObject>
      </mc:Choice>
      <mc:Fallback>
        <oleObject progId="Equation.3" shapeId="3173" r:id="rId57"/>
      </mc:Fallback>
    </mc:AlternateContent>
    <mc:AlternateContent xmlns:mc="http://schemas.openxmlformats.org/markup-compatibility/2006">
      <mc:Choice Requires="x14">
        <oleObject progId="Equation.3" shapeId="3174" r:id="rId59">
          <objectPr defaultSize="0" autoPict="0" r:id="rId60">
            <anchor moveWithCells="1">
              <from>
                <xdr:col>4</xdr:col>
                <xdr:colOff>0</xdr:colOff>
                <xdr:row>1050</xdr:row>
                <xdr:rowOff>25400</xdr:rowOff>
              </from>
              <to>
                <xdr:col>16</xdr:col>
                <xdr:colOff>355600</xdr:colOff>
                <xdr:row>1053</xdr:row>
                <xdr:rowOff>50800</xdr:rowOff>
              </to>
            </anchor>
          </objectPr>
        </oleObject>
      </mc:Choice>
      <mc:Fallback>
        <oleObject progId="Equation.3" shapeId="3174" r:id="rId59"/>
      </mc:Fallback>
    </mc:AlternateContent>
    <mc:AlternateContent xmlns:mc="http://schemas.openxmlformats.org/markup-compatibility/2006">
      <mc:Choice Requires="x14">
        <oleObject progId="Equation.3" shapeId="3178" r:id="rId61">
          <objectPr defaultSize="0" autoPict="0" r:id="rId62">
            <anchor moveWithCells="1">
              <from>
                <xdr:col>4</xdr:col>
                <xdr:colOff>0</xdr:colOff>
                <xdr:row>1070</xdr:row>
                <xdr:rowOff>25400</xdr:rowOff>
              </from>
              <to>
                <xdr:col>12</xdr:col>
                <xdr:colOff>368300</xdr:colOff>
                <xdr:row>1073</xdr:row>
                <xdr:rowOff>50800</xdr:rowOff>
              </to>
            </anchor>
          </objectPr>
        </oleObject>
      </mc:Choice>
      <mc:Fallback>
        <oleObject progId="Equation.3" shapeId="3178" r:id="rId61"/>
      </mc:Fallback>
    </mc:AlternateContent>
    <mc:AlternateContent xmlns:mc="http://schemas.openxmlformats.org/markup-compatibility/2006">
      <mc:Choice Requires="x14">
        <oleObject progId="Equation.3" shapeId="3188" r:id="rId63">
          <objectPr defaultSize="0" autoPict="0" r:id="rId64">
            <anchor moveWithCells="1">
              <from>
                <xdr:col>19</xdr:col>
                <xdr:colOff>0</xdr:colOff>
                <xdr:row>1053</xdr:row>
                <xdr:rowOff>25400</xdr:rowOff>
              </from>
              <to>
                <xdr:col>32</xdr:col>
                <xdr:colOff>381000</xdr:colOff>
                <xdr:row>1056</xdr:row>
                <xdr:rowOff>25400</xdr:rowOff>
              </to>
            </anchor>
          </objectPr>
        </oleObject>
      </mc:Choice>
      <mc:Fallback>
        <oleObject progId="Equation.3" shapeId="3188" r:id="rId63"/>
      </mc:Fallback>
    </mc:AlternateContent>
    <mc:AlternateContent xmlns:mc="http://schemas.openxmlformats.org/markup-compatibility/2006">
      <mc:Choice Requires="x14">
        <oleObject progId="Equation.3" shapeId="3192" r:id="rId65">
          <objectPr defaultSize="0" autoPict="0" r:id="rId66">
            <anchor moveWithCells="1">
              <from>
                <xdr:col>21</xdr:col>
                <xdr:colOff>25400</xdr:colOff>
                <xdr:row>1022</xdr:row>
                <xdr:rowOff>50800</xdr:rowOff>
              </from>
              <to>
                <xdr:col>32</xdr:col>
                <xdr:colOff>241300</xdr:colOff>
                <xdr:row>1024</xdr:row>
                <xdr:rowOff>114300</xdr:rowOff>
              </to>
            </anchor>
          </objectPr>
        </oleObject>
      </mc:Choice>
      <mc:Fallback>
        <oleObject progId="Equation.3" shapeId="3192" r:id="rId65"/>
      </mc:Fallback>
    </mc:AlternateContent>
    <mc:AlternateContent xmlns:mc="http://schemas.openxmlformats.org/markup-compatibility/2006">
      <mc:Choice Requires="x14">
        <oleObject progId="Equation.3" shapeId="3220" r:id="rId67">
          <objectPr defaultSize="0" autoPict="0" r:id="rId68">
            <anchor moveWithCells="1">
              <from>
                <xdr:col>33</xdr:col>
                <xdr:colOff>0</xdr:colOff>
                <xdr:row>1017</xdr:row>
                <xdr:rowOff>25400</xdr:rowOff>
              </from>
              <to>
                <xdr:col>36</xdr:col>
                <xdr:colOff>152400</xdr:colOff>
                <xdr:row>1020</xdr:row>
                <xdr:rowOff>25400</xdr:rowOff>
              </to>
            </anchor>
          </objectPr>
        </oleObject>
      </mc:Choice>
      <mc:Fallback>
        <oleObject progId="Equation.3" shapeId="3220" r:id="rId67"/>
      </mc:Fallback>
    </mc:AlternateContent>
    <mc:AlternateContent xmlns:mc="http://schemas.openxmlformats.org/markup-compatibility/2006">
      <mc:Choice Requires="x14">
        <oleObject progId="Equation.3" shapeId="3222" r:id="rId69">
          <objectPr defaultSize="0" autoPict="0" r:id="rId70">
            <anchor moveWithCells="1">
              <from>
                <xdr:col>33</xdr:col>
                <xdr:colOff>0</xdr:colOff>
                <xdr:row>1014</xdr:row>
                <xdr:rowOff>0</xdr:rowOff>
              </from>
              <to>
                <xdr:col>36</xdr:col>
                <xdr:colOff>635000</xdr:colOff>
                <xdr:row>1017</xdr:row>
                <xdr:rowOff>0</xdr:rowOff>
              </to>
            </anchor>
          </objectPr>
        </oleObject>
      </mc:Choice>
      <mc:Fallback>
        <oleObject progId="Equation.3" shapeId="3222" r:id="rId69"/>
      </mc:Fallback>
    </mc:AlternateContent>
    <mc:AlternateContent xmlns:mc="http://schemas.openxmlformats.org/markup-compatibility/2006">
      <mc:Choice Requires="x14">
        <oleObject progId="Equation.3" shapeId="3223" r:id="rId71">
          <objectPr defaultSize="0" autoPict="0" r:id="rId72">
            <anchor moveWithCells="1">
              <from>
                <xdr:col>33</xdr:col>
                <xdr:colOff>0</xdr:colOff>
                <xdr:row>1020</xdr:row>
                <xdr:rowOff>38100</xdr:rowOff>
              </from>
              <to>
                <xdr:col>35</xdr:col>
                <xdr:colOff>127000</xdr:colOff>
                <xdr:row>1023</xdr:row>
                <xdr:rowOff>38100</xdr:rowOff>
              </to>
            </anchor>
          </objectPr>
        </oleObject>
      </mc:Choice>
      <mc:Fallback>
        <oleObject progId="Equation.3" shapeId="3223" r:id="rId71"/>
      </mc:Fallback>
    </mc:AlternateContent>
    <mc:AlternateContent xmlns:mc="http://schemas.openxmlformats.org/markup-compatibility/2006">
      <mc:Choice Requires="x14">
        <oleObject progId="Equation.3" shapeId="3225" r:id="rId73">
          <objectPr defaultSize="0" autoPict="0" r:id="rId74">
            <anchor moveWithCells="1">
              <from>
                <xdr:col>33</xdr:col>
                <xdr:colOff>0</xdr:colOff>
                <xdr:row>1023</xdr:row>
                <xdr:rowOff>63500</xdr:rowOff>
              </from>
              <to>
                <xdr:col>36</xdr:col>
                <xdr:colOff>50800</xdr:colOff>
                <xdr:row>1026</xdr:row>
                <xdr:rowOff>63500</xdr:rowOff>
              </to>
            </anchor>
          </objectPr>
        </oleObject>
      </mc:Choice>
      <mc:Fallback>
        <oleObject progId="Equation.3" shapeId="3225" r:id="rId73"/>
      </mc:Fallback>
    </mc:AlternateContent>
    <mc:AlternateContent xmlns:mc="http://schemas.openxmlformats.org/markup-compatibility/2006">
      <mc:Choice Requires="x14">
        <oleObject progId="Equation.3" shapeId="3281" r:id="rId75">
          <objectPr defaultSize="0" autoPict="0" r:id="rId76">
            <anchor moveWithCells="1">
              <from>
                <xdr:col>19</xdr:col>
                <xdr:colOff>0</xdr:colOff>
                <xdr:row>1048</xdr:row>
                <xdr:rowOff>25400</xdr:rowOff>
              </from>
              <to>
                <xdr:col>34</xdr:col>
                <xdr:colOff>317500</xdr:colOff>
                <xdr:row>1051</xdr:row>
                <xdr:rowOff>76200</xdr:rowOff>
              </to>
            </anchor>
          </objectPr>
        </oleObject>
      </mc:Choice>
      <mc:Fallback>
        <oleObject progId="Equation.3" shapeId="3281" r:id="rId75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82E6-0EC0-2943-A553-339318FFFE97}">
  <sheetPr codeName="Feuil8">
    <pageSetUpPr fitToPage="1"/>
  </sheetPr>
  <dimension ref="A1:M79"/>
  <sheetViews>
    <sheetView showGridLines="0" workbookViewId="0">
      <selection activeCell="B80" sqref="B80"/>
    </sheetView>
  </sheetViews>
  <sheetFormatPr baseColWidth="10" defaultRowHeight="12.5" x14ac:dyDescent="0.25"/>
  <cols>
    <col min="1" max="1" width="2.1796875" customWidth="1"/>
    <col min="2" max="2" width="16.36328125" customWidth="1"/>
    <col min="3" max="4" width="11.36328125" customWidth="1"/>
  </cols>
  <sheetData>
    <row r="1" spans="1:13" ht="13" x14ac:dyDescent="0.3">
      <c r="A1" s="51"/>
      <c r="B1" s="52"/>
      <c r="C1" s="53"/>
      <c r="D1" s="52"/>
      <c r="E1" s="72"/>
      <c r="F1" s="72"/>
      <c r="G1" s="72"/>
      <c r="H1" s="72"/>
      <c r="I1" s="72"/>
      <c r="J1" s="72"/>
      <c r="K1" s="72"/>
      <c r="L1" s="72"/>
      <c r="M1" s="73"/>
    </row>
    <row r="2" spans="1:13" ht="12.75" customHeight="1" x14ac:dyDescent="0.3">
      <c r="A2" s="56"/>
      <c r="B2" s="2"/>
      <c r="C2" s="625" t="s">
        <v>284</v>
      </c>
      <c r="D2" s="625"/>
      <c r="M2" s="75"/>
    </row>
    <row r="3" spans="1:13" ht="12.75" customHeight="1" x14ac:dyDescent="0.3">
      <c r="A3" s="56"/>
      <c r="B3" s="2"/>
      <c r="C3" s="625"/>
      <c r="D3" s="625"/>
      <c r="M3" s="75"/>
    </row>
    <row r="4" spans="1:13" ht="13" x14ac:dyDescent="0.3">
      <c r="A4" s="56"/>
      <c r="B4" s="2"/>
      <c r="C4" s="628" t="str">
        <f>IF(Lang="Français","Abaques de performance",IF(Lang="English","Performance charts",""))</f>
        <v>Abaques de performance</v>
      </c>
      <c r="D4" s="628"/>
      <c r="M4" s="75"/>
    </row>
    <row r="5" spans="1:13" ht="13" x14ac:dyDescent="0.3">
      <c r="A5" s="56"/>
      <c r="B5" s="2"/>
      <c r="C5" s="628" t="str">
        <f>IF(Lang="Français","Calcul analytique simple",IF(Lang="English","Analytical computation",""))</f>
        <v>Calcul analytique simple</v>
      </c>
      <c r="D5" s="628"/>
      <c r="M5" s="75"/>
    </row>
    <row r="6" spans="1:13" ht="13" x14ac:dyDescent="0.3">
      <c r="A6" s="56"/>
      <c r="B6" s="87"/>
      <c r="C6" s="1"/>
      <c r="D6" s="1"/>
      <c r="M6" s="75"/>
    </row>
    <row r="7" spans="1:13" ht="13" x14ac:dyDescent="0.3">
      <c r="A7" s="59"/>
      <c r="B7" s="6"/>
      <c r="C7" s="607" t="str">
        <f>IF(Lang="Français","Fusée",IF(Lang="English","Rocket",""))</f>
        <v>Fusée</v>
      </c>
      <c r="D7" s="607"/>
      <c r="M7" s="75"/>
    </row>
    <row r="8" spans="1:13" ht="15.5" x14ac:dyDescent="0.35">
      <c r="A8" s="59"/>
      <c r="B8" s="140" t="str">
        <f>IF(Lang="Français","Nom",IF(Lang="English","Name",""))</f>
        <v>Nom</v>
      </c>
      <c r="C8" s="626" t="str">
        <f>Nom</f>
        <v>SP-02-alpha</v>
      </c>
      <c r="D8" s="626"/>
      <c r="M8" s="75"/>
    </row>
    <row r="9" spans="1:13" ht="15.5" x14ac:dyDescent="0.35">
      <c r="A9" s="59"/>
      <c r="B9" s="140" t="s">
        <v>4</v>
      </c>
      <c r="C9" s="626" t="str">
        <f>Club</f>
        <v>l'AéroIPSA</v>
      </c>
      <c r="D9" s="626"/>
      <c r="M9" s="75"/>
    </row>
    <row r="10" spans="1:13" ht="13" x14ac:dyDescent="0.25">
      <c r="A10" s="59"/>
      <c r="B10" s="140" t="str">
        <f>IF(Lang="Français","Masse sans propu",IF(Lang="English","Mass without M",""))</f>
        <v>Masse sans propu</v>
      </c>
      <c r="C10" s="654">
        <f>MasseSans</f>
        <v>9</v>
      </c>
      <c r="D10" s="654"/>
      <c r="M10" s="75"/>
    </row>
    <row r="11" spans="1:13" ht="13" x14ac:dyDescent="0.25">
      <c r="A11" s="59"/>
      <c r="B11" s="140" t="str">
        <f>IF(Lang="Français","Masse totale",IF(Lang="English","Total mass",""))</f>
        <v>Masse totale</v>
      </c>
      <c r="C11" s="657" t="str">
        <f ca="1">MassePlein &amp; " kg ±" &amp; MasseSans &amp; " kg"</f>
        <v>12,511 kg ±9 kg</v>
      </c>
      <c r="D11" s="657"/>
      <c r="M11" s="75"/>
    </row>
    <row r="12" spans="1:13" ht="13" x14ac:dyDescent="0.3">
      <c r="A12" s="59"/>
      <c r="B12" s="227" t="str">
        <f>IF(Lang="Français","Propulseur",IF(Lang="English","Motor",""))</f>
        <v>Propulseur</v>
      </c>
      <c r="C12" s="605" t="str">
        <f>Propu</f>
        <v>Orignal (Pro75-3G)</v>
      </c>
      <c r="D12" s="606"/>
      <c r="M12" s="75"/>
    </row>
    <row r="13" spans="1:13" x14ac:dyDescent="0.25">
      <c r="A13" s="59"/>
      <c r="B13" s="1"/>
      <c r="C13" s="1"/>
      <c r="D13" s="1"/>
      <c r="M13" s="75"/>
    </row>
    <row r="14" spans="1:13" ht="13" x14ac:dyDescent="0.3">
      <c r="A14" s="74"/>
      <c r="C14" s="607" t="str">
        <f>IF(Lang="Français","Traînée Aérdynamique",IF(Lang="English","Drag",""))</f>
        <v>Traînée Aérdynamique</v>
      </c>
      <c r="D14" s="607"/>
      <c r="M14" s="75"/>
    </row>
    <row r="15" spans="1:13" ht="13" x14ac:dyDescent="0.3">
      <c r="A15" s="74"/>
      <c r="B15" s="139" t="str">
        <f>IF(Lang="Français","Diamètre Ø",IF(Lang="English","Diameter Ø",""))</f>
        <v>Diamètre Ø</v>
      </c>
      <c r="C15" s="655">
        <f>D_ref</f>
        <v>120</v>
      </c>
      <c r="D15" s="655"/>
      <c r="M15" s="75"/>
    </row>
    <row r="16" spans="1:13" ht="13" x14ac:dyDescent="0.25">
      <c r="A16" s="74"/>
      <c r="B16" s="140" t="s">
        <v>5</v>
      </c>
      <c r="C16" s="656">
        <f>Cx</f>
        <v>0.6</v>
      </c>
      <c r="D16" s="656"/>
      <c r="M16" s="75"/>
    </row>
    <row r="17" spans="1:13" x14ac:dyDescent="0.25">
      <c r="A17" s="74"/>
      <c r="M17" s="75"/>
    </row>
    <row r="18" spans="1:13" x14ac:dyDescent="0.25">
      <c r="A18" s="74"/>
      <c r="M18" s="75"/>
    </row>
    <row r="19" spans="1:13" x14ac:dyDescent="0.25">
      <c r="A19" s="74"/>
      <c r="M19" s="75"/>
    </row>
    <row r="20" spans="1:13" x14ac:dyDescent="0.25">
      <c r="A20" s="74"/>
      <c r="M20" s="75"/>
    </row>
    <row r="21" spans="1:13" x14ac:dyDescent="0.25">
      <c r="A21" s="74"/>
      <c r="M21" s="75"/>
    </row>
    <row r="22" spans="1:13" x14ac:dyDescent="0.25">
      <c r="A22" s="74"/>
      <c r="M22" s="75"/>
    </row>
    <row r="23" spans="1:13" x14ac:dyDescent="0.25">
      <c r="A23" s="74"/>
      <c r="M23" s="75"/>
    </row>
    <row r="24" spans="1:13" x14ac:dyDescent="0.25">
      <c r="A24" s="74"/>
      <c r="M24" s="75"/>
    </row>
    <row r="25" spans="1:13" x14ac:dyDescent="0.25">
      <c r="A25" s="74"/>
      <c r="M25" s="75"/>
    </row>
    <row r="26" spans="1:13" x14ac:dyDescent="0.25">
      <c r="A26" s="74"/>
      <c r="M26" s="75"/>
    </row>
    <row r="27" spans="1:13" x14ac:dyDescent="0.25">
      <c r="A27" s="74"/>
      <c r="M27" s="75"/>
    </row>
    <row r="28" spans="1:13" x14ac:dyDescent="0.25">
      <c r="A28" s="74"/>
      <c r="M28" s="75"/>
    </row>
    <row r="29" spans="1:13" x14ac:dyDescent="0.25">
      <c r="A29" s="74"/>
      <c r="M29" s="75"/>
    </row>
    <row r="30" spans="1:13" x14ac:dyDescent="0.25">
      <c r="A30" s="74"/>
      <c r="M30" s="75"/>
    </row>
    <row r="31" spans="1:13" x14ac:dyDescent="0.25">
      <c r="A31" s="74"/>
      <c r="M31" s="75"/>
    </row>
    <row r="32" spans="1:13" x14ac:dyDescent="0.25">
      <c r="A32" s="74"/>
      <c r="M32" s="75"/>
    </row>
    <row r="33" spans="1:13" x14ac:dyDescent="0.25">
      <c r="A33" s="74"/>
      <c r="M33" s="75"/>
    </row>
    <row r="34" spans="1:13" x14ac:dyDescent="0.25">
      <c r="A34" s="74"/>
      <c r="M34" s="75"/>
    </row>
    <row r="35" spans="1:13" ht="13" thickBot="1" x14ac:dyDescent="0.3">
      <c r="A35" s="77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9"/>
    </row>
    <row r="39" spans="1:13" ht="13" x14ac:dyDescent="0.25">
      <c r="B39" s="419" t="s">
        <v>64</v>
      </c>
      <c r="C39" s="170" t="s">
        <v>288</v>
      </c>
      <c r="D39" s="134" t="s">
        <v>285</v>
      </c>
      <c r="E39" s="134" t="s">
        <v>289</v>
      </c>
      <c r="F39" s="134" t="s">
        <v>290</v>
      </c>
      <c r="G39" s="134" t="s">
        <v>13</v>
      </c>
      <c r="H39" s="134" t="s">
        <v>286</v>
      </c>
      <c r="I39" s="134" t="s">
        <v>287</v>
      </c>
      <c r="J39" s="134" t="s">
        <v>302</v>
      </c>
      <c r="K39" s="134" t="s">
        <v>303</v>
      </c>
      <c r="L39" s="134" t="s">
        <v>305</v>
      </c>
      <c r="M39" s="134" t="s">
        <v>293</v>
      </c>
    </row>
    <row r="40" spans="1:13" ht="13" x14ac:dyDescent="0.25">
      <c r="B40" s="420" t="s">
        <v>294</v>
      </c>
      <c r="C40" s="170" t="s">
        <v>295</v>
      </c>
      <c r="D40" s="134" t="s">
        <v>296</v>
      </c>
      <c r="E40" s="134" t="s">
        <v>297</v>
      </c>
      <c r="F40" s="134" t="s">
        <v>298</v>
      </c>
      <c r="G40" s="134" t="s">
        <v>299</v>
      </c>
      <c r="H40" s="134" t="s">
        <v>300</v>
      </c>
      <c r="I40" s="134" t="s">
        <v>301</v>
      </c>
      <c r="J40" s="134" t="s">
        <v>291</v>
      </c>
      <c r="K40" s="134" t="s">
        <v>292</v>
      </c>
      <c r="L40" s="134"/>
      <c r="M40" s="134"/>
    </row>
    <row r="41" spans="1:13" x14ac:dyDescent="0.25">
      <c r="B41" s="425">
        <f t="shared" ref="B41:B49" ca="1" si="0">MAX(D_ref*0.5, Diam_propu)</f>
        <v>75</v>
      </c>
      <c r="C41" s="403">
        <f t="shared" ref="C41:C67" ca="1" si="1">1/2*Rho_moyen*PI()*D_var^2/4*Cx/10^6</f>
        <v>1.6235652658981629E-3</v>
      </c>
      <c r="D41" s="400">
        <f ca="1">MpropuPlein+0*MasseSans</f>
        <v>3.5110000000000001</v>
      </c>
      <c r="E41" s="400">
        <f t="shared" ref="E41:E67" ca="1" si="2">m_var - 0.5*m_poudre</f>
        <v>2.5745</v>
      </c>
      <c r="F41" s="400">
        <f t="shared" ref="F41:F67" ca="1" si="3">m_var - m_poudre</f>
        <v>1.6379999999999999</v>
      </c>
      <c r="G41" s="407">
        <f t="shared" ref="G41:G67" ca="1" si="4">MAX(0, (I_total/Temps_fin_propu)/m_prop-g)</f>
        <v>300.51733100610352</v>
      </c>
      <c r="H41" s="406">
        <f t="shared" ref="H41:H67" ca="1" si="5">Q_var/m_prop</f>
        <v>6.3063323592859309E-4</v>
      </c>
      <c r="I41" s="403">
        <f t="shared" ref="I41:I67" ca="1" si="6">Q_var/m_bal</f>
        <v>9.9118758601841449E-4</v>
      </c>
      <c r="J41" s="403">
        <f t="shared" ref="J41:J67" ca="1" si="7">1/(2*b_prop)*LN(  ((EXP(2*SQRT(a_prop*b_prop)*Temps_fin_propu)+1)^2)  /  (((1+1)^2)*EXP(2*SQRT(a_prop*b_prop)*Temps_fin_propu)))</f>
        <v>2158.2635165521065</v>
      </c>
      <c r="K41" s="410">
        <f t="shared" ref="K41:K67" ca="1" si="8">SQRT(a_prop/b_prop)  *  (EXP(2*SQRT(a_prop*b_prop)*Temps_fin_propu)-1)/(EXP(2*SQRT(a_prop*b_prop)*Temps_fin_propu)+1)</f>
        <v>667.23943222055664</v>
      </c>
      <c r="L41" s="413">
        <f t="shared" ref="L41:L67" ca="1" si="9">alt_prop + 1/(2*b_bal) * LN(1+b_bal/g*V_prop^2)</f>
        <v>4089.4196162940484</v>
      </c>
      <c r="M41" s="416">
        <f t="shared" ref="M41:M67" ca="1" si="10">Temps_fin_propu + ATAN(SQRT(b_bal/g)*V_prop)/SQRT(b_bal*g)</f>
        <v>19.108714737865654</v>
      </c>
    </row>
    <row r="42" spans="1:13" x14ac:dyDescent="0.25">
      <c r="B42" s="426">
        <f t="shared" ca="1" si="0"/>
        <v>75</v>
      </c>
      <c r="C42" s="404">
        <f t="shared" ca="1" si="1"/>
        <v>1.6235652658981629E-3</v>
      </c>
      <c r="D42" s="401">
        <f ca="1">MpropuPlein+0.25*MasseSans</f>
        <v>5.7610000000000001</v>
      </c>
      <c r="E42" s="401">
        <f t="shared" ca="1" si="2"/>
        <v>4.8245000000000005</v>
      </c>
      <c r="F42" s="401">
        <f t="shared" ca="1" si="3"/>
        <v>3.8879999999999999</v>
      </c>
      <c r="G42" s="408">
        <f t="shared" ca="1" si="4"/>
        <v>155.79010647221753</v>
      </c>
      <c r="H42" s="404">
        <f t="shared" ca="1" si="5"/>
        <v>3.3652508361450156E-4</v>
      </c>
      <c r="I42" s="404">
        <f t="shared" ca="1" si="6"/>
        <v>4.1758365892442459E-4</v>
      </c>
      <c r="J42" s="404">
        <f t="shared" ca="1" si="7"/>
        <v>1454.0760516960456</v>
      </c>
      <c r="K42" s="411">
        <f t="shared" ca="1" si="8"/>
        <v>537.55005061830332</v>
      </c>
      <c r="L42" s="414">
        <f t="shared" ca="1" si="9"/>
        <v>4552.5921121080446</v>
      </c>
      <c r="M42" s="417">
        <f t="shared" ca="1" si="10"/>
        <v>24.882470910291421</v>
      </c>
    </row>
    <row r="43" spans="1:13" x14ac:dyDescent="0.25">
      <c r="B43" s="426">
        <f t="shared" ca="1" si="0"/>
        <v>75</v>
      </c>
      <c r="C43" s="404">
        <f t="shared" ca="1" si="1"/>
        <v>1.6235652658981629E-3</v>
      </c>
      <c r="D43" s="401">
        <f ca="1">MpropuPlein+0.5*MasseSans</f>
        <v>8.0109999999999992</v>
      </c>
      <c r="E43" s="401">
        <f t="shared" ca="1" si="2"/>
        <v>7.0744999999999987</v>
      </c>
      <c r="F43" s="401">
        <f t="shared" ca="1" si="3"/>
        <v>6.137999999999999</v>
      </c>
      <c r="G43" s="408">
        <f t="shared" ca="1" si="4"/>
        <v>103.12203953285938</v>
      </c>
      <c r="H43" s="404">
        <f t="shared" ca="1" si="5"/>
        <v>2.2949540828301127E-4</v>
      </c>
      <c r="I43" s="404">
        <f t="shared" ca="1" si="6"/>
        <v>2.6451047016913705E-4</v>
      </c>
      <c r="J43" s="404">
        <f t="shared" ca="1" si="7"/>
        <v>1043.4155259469085</v>
      </c>
      <c r="K43" s="411">
        <f t="shared" ca="1" si="8"/>
        <v>413.51644959961146</v>
      </c>
      <c r="L43" s="414">
        <f t="shared" ca="1" si="9"/>
        <v>4303.516041679286</v>
      </c>
      <c r="M43" s="417">
        <f t="shared" ca="1" si="10"/>
        <v>26.9603048939804</v>
      </c>
    </row>
    <row r="44" spans="1:13" x14ac:dyDescent="0.25">
      <c r="B44" s="426">
        <f t="shared" ca="1" si="0"/>
        <v>75</v>
      </c>
      <c r="C44" s="404">
        <f t="shared" ca="1" si="1"/>
        <v>1.6235652658981629E-3</v>
      </c>
      <c r="D44" s="401">
        <f ca="1">MpropuPlein+0.75*MasseSans</f>
        <v>10.260999999999999</v>
      </c>
      <c r="E44" s="401">
        <f t="shared" ca="1" si="2"/>
        <v>9.3244999999999987</v>
      </c>
      <c r="F44" s="401">
        <f t="shared" ca="1" si="3"/>
        <v>8.3879999999999981</v>
      </c>
      <c r="G44" s="408">
        <f t="shared" ca="1" si="4"/>
        <v>75.87156079952959</v>
      </c>
      <c r="H44" s="404">
        <f t="shared" ca="1" si="5"/>
        <v>1.7411821179668218E-4</v>
      </c>
      <c r="I44" s="404">
        <f t="shared" ca="1" si="6"/>
        <v>1.9355809083192218E-4</v>
      </c>
      <c r="J44" s="404">
        <f t="shared" ca="1" si="7"/>
        <v>793.65930034876749</v>
      </c>
      <c r="K44" s="411">
        <f t="shared" ca="1" si="8"/>
        <v>324.38036510695292</v>
      </c>
      <c r="L44" s="414">
        <f t="shared" ca="1" si="9"/>
        <v>3696.3214499644509</v>
      </c>
      <c r="M44" s="417">
        <f t="shared" ca="1" si="10"/>
        <v>26.804760538276721</v>
      </c>
    </row>
    <row r="45" spans="1:13" x14ac:dyDescent="0.25">
      <c r="B45" s="426">
        <f t="shared" ca="1" si="0"/>
        <v>75</v>
      </c>
      <c r="C45" s="404">
        <f t="shared" ca="1" si="1"/>
        <v>1.6235652658981629E-3</v>
      </c>
      <c r="D45" s="401">
        <f ca="1">MpropuPlein+1*MasseSans</f>
        <v>12.510999999999999</v>
      </c>
      <c r="E45" s="401">
        <f t="shared" ca="1" si="2"/>
        <v>11.574499999999999</v>
      </c>
      <c r="F45" s="401">
        <f t="shared" ca="1" si="3"/>
        <v>10.637999999999998</v>
      </c>
      <c r="G45" s="408">
        <f t="shared" ca="1" si="4"/>
        <v>59.215678316576401</v>
      </c>
      <c r="H45" s="404">
        <f t="shared" ca="1" si="5"/>
        <v>1.402708770053275E-4</v>
      </c>
      <c r="I45" s="404">
        <f t="shared" ca="1" si="6"/>
        <v>1.5261940833786081E-4</v>
      </c>
      <c r="J45" s="404">
        <f t="shared" ca="1" si="7"/>
        <v>629.72419497693784</v>
      </c>
      <c r="K45" s="411">
        <f t="shared" ca="1" si="8"/>
        <v>261.4627407491862</v>
      </c>
      <c r="L45" s="414">
        <f t="shared" ca="1" si="9"/>
        <v>3003.0485764603877</v>
      </c>
      <c r="M45" s="417">
        <f t="shared" ca="1" si="10"/>
        <v>25.375923345741228</v>
      </c>
    </row>
    <row r="46" spans="1:13" x14ac:dyDescent="0.25">
      <c r="B46" s="426">
        <f t="shared" ca="1" si="0"/>
        <v>75</v>
      </c>
      <c r="C46" s="404">
        <f t="shared" ca="1" si="1"/>
        <v>1.6235652658981629E-3</v>
      </c>
      <c r="D46" s="401">
        <f ca="1">MpropuPlein+1.25*MasseSans</f>
        <v>14.760999999999999</v>
      </c>
      <c r="E46" s="401">
        <f t="shared" ca="1" si="2"/>
        <v>13.824499999999999</v>
      </c>
      <c r="F46" s="401">
        <f t="shared" ca="1" si="3"/>
        <v>12.887999999999998</v>
      </c>
      <c r="G46" s="408">
        <f t="shared" ca="1" si="4"/>
        <v>47.981436484155928</v>
      </c>
      <c r="H46" s="404">
        <f t="shared" ca="1" si="5"/>
        <v>1.174411563454854E-4</v>
      </c>
      <c r="I46" s="404">
        <f t="shared" ca="1" si="6"/>
        <v>1.2597495855820633E-4</v>
      </c>
      <c r="J46" s="404">
        <f t="shared" ca="1" si="7"/>
        <v>514.98863473990048</v>
      </c>
      <c r="K46" s="411">
        <f t="shared" ca="1" si="8"/>
        <v>215.74938181715726</v>
      </c>
      <c r="L46" s="414">
        <f t="shared" ca="1" si="9"/>
        <v>2374.8498090987191</v>
      </c>
      <c r="M46" s="417">
        <f t="shared" ca="1" si="10"/>
        <v>23.40171188342805</v>
      </c>
    </row>
    <row r="47" spans="1:13" x14ac:dyDescent="0.25">
      <c r="B47" s="426">
        <f t="shared" ca="1" si="0"/>
        <v>75</v>
      </c>
      <c r="C47" s="404">
        <f t="shared" ca="1" si="1"/>
        <v>1.6235652658981629E-3</v>
      </c>
      <c r="D47" s="401">
        <f ca="1">MpropuPlein+1.5*MasseSans</f>
        <v>17.010999999999999</v>
      </c>
      <c r="E47" s="401">
        <f t="shared" ca="1" si="2"/>
        <v>16.0745</v>
      </c>
      <c r="F47" s="401">
        <f t="shared" ca="1" si="3"/>
        <v>15.137999999999998</v>
      </c>
      <c r="G47" s="408">
        <f t="shared" ca="1" si="4"/>
        <v>39.892181322916016</v>
      </c>
      <c r="H47" s="404">
        <f t="shared" ca="1" si="5"/>
        <v>1.0100253606010531E-4</v>
      </c>
      <c r="I47" s="404">
        <f t="shared" ca="1" si="6"/>
        <v>1.0725097541935282E-4</v>
      </c>
      <c r="J47" s="404">
        <f t="shared" ca="1" si="7"/>
        <v>430.58898546748719</v>
      </c>
      <c r="K47" s="411">
        <f t="shared" ca="1" si="8"/>
        <v>181.39066695519853</v>
      </c>
      <c r="L47" s="414">
        <f t="shared" ca="1" si="9"/>
        <v>1863.1041338654638</v>
      </c>
      <c r="M47" s="417">
        <f t="shared" ca="1" si="10"/>
        <v>21.335471668077336</v>
      </c>
    </row>
    <row r="48" spans="1:13" x14ac:dyDescent="0.25">
      <c r="B48" s="426">
        <f t="shared" ca="1" si="0"/>
        <v>75</v>
      </c>
      <c r="C48" s="404">
        <f t="shared" ca="1" si="1"/>
        <v>1.6235652658981629E-3</v>
      </c>
      <c r="D48" s="401">
        <f ca="1">MpropuPlein+1.75*MasseSans</f>
        <v>19.260999999999999</v>
      </c>
      <c r="E48" s="401">
        <f t="shared" ca="1" si="2"/>
        <v>18.3245</v>
      </c>
      <c r="F48" s="401">
        <f t="shared" ca="1" si="3"/>
        <v>17.387999999999998</v>
      </c>
      <c r="G48" s="408">
        <f t="shared" ca="1" si="4"/>
        <v>33.789427742924147</v>
      </c>
      <c r="H48" s="404">
        <f t="shared" ca="1" si="5"/>
        <v>8.8600794886526933E-5</v>
      </c>
      <c r="I48" s="404">
        <f t="shared" ca="1" si="6"/>
        <v>9.3372743610430352E-5</v>
      </c>
      <c r="J48" s="404">
        <f t="shared" ca="1" si="7"/>
        <v>366.06020300239521</v>
      </c>
      <c r="K48" s="411">
        <f t="shared" ca="1" si="8"/>
        <v>154.76649871322277</v>
      </c>
      <c r="L48" s="414">
        <f t="shared" ca="1" si="9"/>
        <v>1465.8141249302701</v>
      </c>
      <c r="M48" s="417">
        <f t="shared" ca="1" si="10"/>
        <v>19.39876659959176</v>
      </c>
    </row>
    <row r="49" spans="2:13" x14ac:dyDescent="0.25">
      <c r="B49" s="427">
        <f t="shared" ca="1" si="0"/>
        <v>75</v>
      </c>
      <c r="C49" s="405">
        <f t="shared" ca="1" si="1"/>
        <v>1.6235652658981629E-3</v>
      </c>
      <c r="D49" s="402">
        <f ca="1">MpropuPlein+2*MasseSans</f>
        <v>21.510999999999999</v>
      </c>
      <c r="E49" s="402">
        <f t="shared" ca="1" si="2"/>
        <v>20.5745</v>
      </c>
      <c r="F49" s="402">
        <f t="shared" ca="1" si="3"/>
        <v>19.637999999999998</v>
      </c>
      <c r="G49" s="409">
        <f t="shared" ca="1" si="4"/>
        <v>29.021452218776325</v>
      </c>
      <c r="H49" s="405">
        <f t="shared" ca="1" si="5"/>
        <v>7.8911529606948551E-5</v>
      </c>
      <c r="I49" s="405">
        <f t="shared" ca="1" si="6"/>
        <v>8.2674674910793514E-5</v>
      </c>
      <c r="J49" s="405">
        <f t="shared" ca="1" si="7"/>
        <v>315.19779882595003</v>
      </c>
      <c r="K49" s="412">
        <f t="shared" ca="1" si="8"/>
        <v>133.59416764595909</v>
      </c>
      <c r="L49" s="415">
        <f t="shared" ca="1" si="9"/>
        <v>1162.6092633040494</v>
      </c>
      <c r="M49" s="418">
        <f t="shared" ca="1" si="10"/>
        <v>17.671077409339315</v>
      </c>
    </row>
    <row r="50" spans="2:13" x14ac:dyDescent="0.25">
      <c r="B50" s="425">
        <f t="shared" ref="B50:B58" si="11">D_ref</f>
        <v>120</v>
      </c>
      <c r="C50" s="403">
        <f t="shared" si="1"/>
        <v>4.1563270806992967E-3</v>
      </c>
      <c r="D50" s="400">
        <f ca="1">MpropuPlein+0*MasseSans</f>
        <v>3.5110000000000001</v>
      </c>
      <c r="E50" s="400">
        <f t="shared" ca="1" si="2"/>
        <v>2.5745</v>
      </c>
      <c r="F50" s="400">
        <f t="shared" ca="1" si="3"/>
        <v>1.6379999999999999</v>
      </c>
      <c r="G50" s="407">
        <f t="shared" ca="1" si="4"/>
        <v>300.51733100610352</v>
      </c>
      <c r="H50" s="403">
        <f t="shared" ca="1" si="5"/>
        <v>1.6144210839771982E-3</v>
      </c>
      <c r="I50" s="403">
        <f t="shared" ca="1" si="6"/>
        <v>2.5374402202071409E-3</v>
      </c>
      <c r="J50" s="403">
        <f t="shared" ca="1" si="7"/>
        <v>1590.7321644749741</v>
      </c>
      <c r="K50" s="410">
        <f t="shared" ca="1" si="8"/>
        <v>430.17561504613184</v>
      </c>
      <c r="L50" s="413">
        <f t="shared" ca="1" si="9"/>
        <v>2357.0678788831392</v>
      </c>
      <c r="M50" s="416">
        <f t="shared" ca="1" si="10"/>
        <v>13.726227502425294</v>
      </c>
    </row>
    <row r="51" spans="2:13" x14ac:dyDescent="0.25">
      <c r="B51" s="426">
        <f t="shared" si="11"/>
        <v>120</v>
      </c>
      <c r="C51" s="404">
        <f t="shared" si="1"/>
        <v>4.1563270806992967E-3</v>
      </c>
      <c r="D51" s="401">
        <f ca="1">MpropuPlein+0.25*MasseSans</f>
        <v>5.7610000000000001</v>
      </c>
      <c r="E51" s="401">
        <f t="shared" ca="1" si="2"/>
        <v>4.8245000000000005</v>
      </c>
      <c r="F51" s="401">
        <f t="shared" ca="1" si="3"/>
        <v>3.8879999999999999</v>
      </c>
      <c r="G51" s="408">
        <f t="shared" ca="1" si="4"/>
        <v>155.79010647221753</v>
      </c>
      <c r="H51" s="404">
        <f t="shared" ca="1" si="5"/>
        <v>8.6150421405312388E-4</v>
      </c>
      <c r="I51" s="404">
        <f t="shared" ca="1" si="6"/>
        <v>1.0690141668465269E-3</v>
      </c>
      <c r="J51" s="404">
        <f t="shared" ca="1" si="7"/>
        <v>1222.6099894812974</v>
      </c>
      <c r="K51" s="411">
        <f t="shared" ca="1" si="8"/>
        <v>398.54176242435722</v>
      </c>
      <c r="L51" s="414">
        <f t="shared" ca="1" si="9"/>
        <v>2582.4475806141813</v>
      </c>
      <c r="M51" s="417">
        <f t="shared" ca="1" si="10"/>
        <v>17.715416857260223</v>
      </c>
    </row>
    <row r="52" spans="2:13" x14ac:dyDescent="0.25">
      <c r="B52" s="426">
        <f t="shared" si="11"/>
        <v>120</v>
      </c>
      <c r="C52" s="404">
        <f t="shared" si="1"/>
        <v>4.1563270806992967E-3</v>
      </c>
      <c r="D52" s="401">
        <f ca="1">MpropuPlein+0.5*MasseSans</f>
        <v>8.0109999999999992</v>
      </c>
      <c r="E52" s="401">
        <f t="shared" ca="1" si="2"/>
        <v>7.0744999999999987</v>
      </c>
      <c r="F52" s="401">
        <f t="shared" ca="1" si="3"/>
        <v>6.137999999999999</v>
      </c>
      <c r="G52" s="408">
        <f t="shared" ca="1" si="4"/>
        <v>103.12203953285938</v>
      </c>
      <c r="H52" s="404">
        <f t="shared" ca="1" si="5"/>
        <v>5.8750824520450876E-4</v>
      </c>
      <c r="I52" s="404">
        <f t="shared" ca="1" si="6"/>
        <v>6.7714680363299077E-4</v>
      </c>
      <c r="J52" s="404">
        <f t="shared" ca="1" si="7"/>
        <v>942.93583844531804</v>
      </c>
      <c r="K52" s="411">
        <f t="shared" ca="1" si="8"/>
        <v>342.87161289576329</v>
      </c>
      <c r="L52" s="414">
        <f t="shared" ca="1" si="9"/>
        <v>2574.7072200942944</v>
      </c>
      <c r="M52" s="417">
        <f t="shared" ca="1" si="10"/>
        <v>19.810549046885974</v>
      </c>
    </row>
    <row r="53" spans="2:13" x14ac:dyDescent="0.25">
      <c r="B53" s="426">
        <f t="shared" si="11"/>
        <v>120</v>
      </c>
      <c r="C53" s="404">
        <f t="shared" si="1"/>
        <v>4.1563270806992967E-3</v>
      </c>
      <c r="D53" s="401">
        <f ca="1">MpropuPlein+0.75*MasseSans</f>
        <v>10.260999999999999</v>
      </c>
      <c r="E53" s="401">
        <f t="shared" ca="1" si="2"/>
        <v>9.3244999999999987</v>
      </c>
      <c r="F53" s="401">
        <f t="shared" ca="1" si="3"/>
        <v>8.3879999999999981</v>
      </c>
      <c r="G53" s="408">
        <f t="shared" ca="1" si="4"/>
        <v>75.87156079952959</v>
      </c>
      <c r="H53" s="404">
        <f t="shared" ca="1" si="5"/>
        <v>4.4574262219950638E-4</v>
      </c>
      <c r="I53" s="404">
        <f t="shared" ca="1" si="6"/>
        <v>4.9550871252972075E-4</v>
      </c>
      <c r="J53" s="404">
        <f t="shared" ca="1" si="7"/>
        <v>744.89045146783553</v>
      </c>
      <c r="K53" s="411">
        <f t="shared" ca="1" si="8"/>
        <v>287.3933561647915</v>
      </c>
      <c r="L53" s="414">
        <f t="shared" ca="1" si="9"/>
        <v>2403.0283539710263</v>
      </c>
      <c r="M53" s="417">
        <f t="shared" ca="1" si="10"/>
        <v>20.679779020378305</v>
      </c>
    </row>
    <row r="54" spans="2:13" x14ac:dyDescent="0.25">
      <c r="B54" s="426">
        <f t="shared" si="11"/>
        <v>120</v>
      </c>
      <c r="C54" s="404">
        <f t="shared" si="1"/>
        <v>4.1563270806992967E-3</v>
      </c>
      <c r="D54" s="401">
        <f ca="1">MpropuPlein+1*MasseSans</f>
        <v>12.510999999999999</v>
      </c>
      <c r="E54" s="401">
        <f t="shared" ca="1" si="2"/>
        <v>11.574499999999999</v>
      </c>
      <c r="F54" s="401">
        <f t="shared" ca="1" si="3"/>
        <v>10.637999999999998</v>
      </c>
      <c r="G54" s="408">
        <f t="shared" ca="1" si="4"/>
        <v>59.215678316576401</v>
      </c>
      <c r="H54" s="404">
        <f t="shared" ca="1" si="5"/>
        <v>3.5909344513363834E-4</v>
      </c>
      <c r="I54" s="404">
        <f t="shared" ca="1" si="6"/>
        <v>3.9070568534492359E-4</v>
      </c>
      <c r="J54" s="404">
        <f t="shared" ca="1" si="7"/>
        <v>603.62929150493244</v>
      </c>
      <c r="K54" s="411">
        <f t="shared" ca="1" si="8"/>
        <v>240.85052132761254</v>
      </c>
      <c r="L54" s="414">
        <f t="shared" ca="1" si="9"/>
        <v>2135.5380405154929</v>
      </c>
      <c r="M54" s="417">
        <f t="shared" ca="1" si="10"/>
        <v>20.653001416633266</v>
      </c>
    </row>
    <row r="55" spans="2:13" x14ac:dyDescent="0.25">
      <c r="B55" s="426">
        <f t="shared" si="11"/>
        <v>120</v>
      </c>
      <c r="C55" s="404">
        <f t="shared" si="1"/>
        <v>4.1563270806992967E-3</v>
      </c>
      <c r="D55" s="401">
        <f ca="1">MpropuPlein+1.25*MasseSans</f>
        <v>14.760999999999999</v>
      </c>
      <c r="E55" s="401">
        <f t="shared" ca="1" si="2"/>
        <v>13.824499999999999</v>
      </c>
      <c r="F55" s="401">
        <f t="shared" ca="1" si="3"/>
        <v>12.887999999999998</v>
      </c>
      <c r="G55" s="408">
        <f t="shared" ca="1" si="4"/>
        <v>47.981436484155928</v>
      </c>
      <c r="H55" s="404">
        <f t="shared" ca="1" si="5"/>
        <v>3.0064936024444262E-4</v>
      </c>
      <c r="I55" s="404">
        <f t="shared" ca="1" si="6"/>
        <v>3.2249589390900818E-4</v>
      </c>
      <c r="J55" s="404">
        <f t="shared" ca="1" si="7"/>
        <v>499.91273855745862</v>
      </c>
      <c r="K55" s="411">
        <f t="shared" ca="1" si="8"/>
        <v>203.55358743133831</v>
      </c>
      <c r="L55" s="414">
        <f t="shared" ca="1" si="9"/>
        <v>1832.5746378028741</v>
      </c>
      <c r="M55" s="417">
        <f t="shared" ca="1" si="10"/>
        <v>20.011610257855587</v>
      </c>
    </row>
    <row r="56" spans="2:13" x14ac:dyDescent="0.25">
      <c r="B56" s="426">
        <f t="shared" si="11"/>
        <v>120</v>
      </c>
      <c r="C56" s="404">
        <f t="shared" si="1"/>
        <v>4.1563270806992967E-3</v>
      </c>
      <c r="D56" s="401">
        <f ca="1">MpropuPlein+1.5*MasseSans</f>
        <v>17.010999999999999</v>
      </c>
      <c r="E56" s="401">
        <f t="shared" ca="1" si="2"/>
        <v>16.0745</v>
      </c>
      <c r="F56" s="401">
        <f t="shared" ca="1" si="3"/>
        <v>15.137999999999998</v>
      </c>
      <c r="G56" s="408">
        <f t="shared" ca="1" si="4"/>
        <v>39.892181322916016</v>
      </c>
      <c r="H56" s="404">
        <f t="shared" ca="1" si="5"/>
        <v>2.5856649231386958E-4</v>
      </c>
      <c r="I56" s="404">
        <f t="shared" ca="1" si="6"/>
        <v>2.7456249707354319E-4</v>
      </c>
      <c r="J56" s="404">
        <f t="shared" ca="1" si="7"/>
        <v>421.34551272190549</v>
      </c>
      <c r="K56" s="411">
        <f t="shared" ca="1" si="8"/>
        <v>173.80016344622894</v>
      </c>
      <c r="L56" s="414">
        <f t="shared" ca="1" si="9"/>
        <v>1537.1332755233298</v>
      </c>
      <c r="M56" s="417">
        <f t="shared" ca="1" si="10"/>
        <v>19.005394229704244</v>
      </c>
    </row>
    <row r="57" spans="2:13" x14ac:dyDescent="0.25">
      <c r="B57" s="426">
        <f t="shared" si="11"/>
        <v>120</v>
      </c>
      <c r="C57" s="404">
        <f t="shared" si="1"/>
        <v>4.1563270806992967E-3</v>
      </c>
      <c r="D57" s="401">
        <f ca="1">MpropuPlein+1.75*MasseSans</f>
        <v>19.260999999999999</v>
      </c>
      <c r="E57" s="401">
        <f t="shared" ca="1" si="2"/>
        <v>18.3245</v>
      </c>
      <c r="F57" s="401">
        <f t="shared" ca="1" si="3"/>
        <v>17.387999999999998</v>
      </c>
      <c r="G57" s="408">
        <f t="shared" ca="1" si="4"/>
        <v>33.789427742924147</v>
      </c>
      <c r="H57" s="404">
        <f t="shared" ca="1" si="5"/>
        <v>2.2681803490950893E-4</v>
      </c>
      <c r="I57" s="404">
        <f t="shared" ca="1" si="6"/>
        <v>2.3903422364270169E-4</v>
      </c>
      <c r="J57" s="404">
        <f t="shared" ca="1" si="7"/>
        <v>360.12337869181982</v>
      </c>
      <c r="K57" s="411">
        <f t="shared" ca="1" si="8"/>
        <v>149.84262227734513</v>
      </c>
      <c r="L57" s="414">
        <f t="shared" ca="1" si="9"/>
        <v>1272.9178065534381</v>
      </c>
      <c r="M57" s="417">
        <f t="shared" ca="1" si="10"/>
        <v>17.831403176596414</v>
      </c>
    </row>
    <row r="58" spans="2:13" x14ac:dyDescent="0.25">
      <c r="B58" s="427">
        <f t="shared" si="11"/>
        <v>120</v>
      </c>
      <c r="C58" s="405">
        <f t="shared" si="1"/>
        <v>4.1563270806992967E-3</v>
      </c>
      <c r="D58" s="402">
        <f ca="1">MpropuPlein+2*MasseSans</f>
        <v>21.510999999999999</v>
      </c>
      <c r="E58" s="402">
        <f t="shared" ca="1" si="2"/>
        <v>20.5745</v>
      </c>
      <c r="F58" s="402">
        <f t="shared" ca="1" si="3"/>
        <v>19.637999999999998</v>
      </c>
      <c r="G58" s="409">
        <f t="shared" ca="1" si="4"/>
        <v>29.021452218776325</v>
      </c>
      <c r="H58" s="405">
        <f t="shared" ca="1" si="5"/>
        <v>2.0201351579378826E-4</v>
      </c>
      <c r="I58" s="405">
        <f t="shared" ca="1" si="6"/>
        <v>2.1164716777163139E-4</v>
      </c>
      <c r="J58" s="405">
        <f t="shared" ca="1" si="7"/>
        <v>311.2421637191199</v>
      </c>
      <c r="K58" s="412">
        <f t="shared" ca="1" si="8"/>
        <v>130.29077774416939</v>
      </c>
      <c r="L58" s="415">
        <f t="shared" ca="1" si="9"/>
        <v>1048.4727870631598</v>
      </c>
      <c r="M58" s="418">
        <f t="shared" ca="1" si="10"/>
        <v>16.623569527995201</v>
      </c>
    </row>
    <row r="59" spans="2:13" x14ac:dyDescent="0.25">
      <c r="B59" s="425">
        <f t="shared" ref="B59:B67" si="12">D_ref*1.5</f>
        <v>180</v>
      </c>
      <c r="C59" s="403">
        <f t="shared" si="1"/>
        <v>9.3517359315734173E-3</v>
      </c>
      <c r="D59" s="400">
        <f ca="1">MpropuPlein+0*MasseSans</f>
        <v>3.5110000000000001</v>
      </c>
      <c r="E59" s="400">
        <f t="shared" ca="1" si="2"/>
        <v>2.5745</v>
      </c>
      <c r="F59" s="400">
        <f t="shared" ca="1" si="3"/>
        <v>1.6379999999999999</v>
      </c>
      <c r="G59" s="407">
        <f t="shared" ca="1" si="4"/>
        <v>300.51733100610352</v>
      </c>
      <c r="H59" s="403">
        <f t="shared" ca="1" si="5"/>
        <v>3.6324474389486956E-3</v>
      </c>
      <c r="I59" s="403">
        <f t="shared" ca="1" si="6"/>
        <v>5.7092404954660675E-3</v>
      </c>
      <c r="J59" s="403">
        <f t="shared" ca="1" si="7"/>
        <v>1155.3058266662372</v>
      </c>
      <c r="K59" s="410">
        <f t="shared" ca="1" si="8"/>
        <v>287.59804058255929</v>
      </c>
      <c r="L59" s="413">
        <f t="shared" ca="1" si="9"/>
        <v>1496.3859738377337</v>
      </c>
      <c r="M59" s="416">
        <f t="shared" ca="1" si="10"/>
        <v>10.712512319597954</v>
      </c>
    </row>
    <row r="60" spans="2:13" x14ac:dyDescent="0.25">
      <c r="B60" s="426">
        <f t="shared" si="12"/>
        <v>180</v>
      </c>
      <c r="C60" s="404">
        <f t="shared" si="1"/>
        <v>9.3517359315734173E-3</v>
      </c>
      <c r="D60" s="401">
        <f ca="1">MpropuPlein+0.25*MasseSans</f>
        <v>5.7610000000000001</v>
      </c>
      <c r="E60" s="401">
        <f t="shared" ca="1" si="2"/>
        <v>4.8245000000000005</v>
      </c>
      <c r="F60" s="401">
        <f t="shared" ca="1" si="3"/>
        <v>3.8879999999999999</v>
      </c>
      <c r="G60" s="408">
        <f t="shared" ca="1" si="4"/>
        <v>155.79010647221753</v>
      </c>
      <c r="H60" s="404">
        <f t="shared" ca="1" si="5"/>
        <v>1.9383844816195288E-3</v>
      </c>
      <c r="I60" s="404">
        <f t="shared" ca="1" si="6"/>
        <v>2.4052818754046854E-3</v>
      </c>
      <c r="J60" s="404">
        <f t="shared" ca="1" si="7"/>
        <v>972.18280650960241</v>
      </c>
      <c r="K60" s="411">
        <f t="shared" ca="1" si="8"/>
        <v>280.20778034001256</v>
      </c>
      <c r="L60" s="414">
        <f t="shared" ca="1" si="9"/>
        <v>1597.5176344852925</v>
      </c>
      <c r="M60" s="417">
        <f t="shared" ca="1" si="10"/>
        <v>13.4471119308811</v>
      </c>
    </row>
    <row r="61" spans="2:13" x14ac:dyDescent="0.25">
      <c r="B61" s="426">
        <f t="shared" si="12"/>
        <v>180</v>
      </c>
      <c r="C61" s="404">
        <f t="shared" si="1"/>
        <v>9.3517359315734173E-3</v>
      </c>
      <c r="D61" s="401">
        <f ca="1">MpropuPlein+0.5*MasseSans</f>
        <v>8.0109999999999992</v>
      </c>
      <c r="E61" s="401">
        <f t="shared" ca="1" si="2"/>
        <v>7.0744999999999987</v>
      </c>
      <c r="F61" s="401">
        <f t="shared" ca="1" si="3"/>
        <v>6.137999999999999</v>
      </c>
      <c r="G61" s="408">
        <f t="shared" ca="1" si="4"/>
        <v>103.12203953285938</v>
      </c>
      <c r="H61" s="404">
        <f t="shared" ca="1" si="5"/>
        <v>1.3218935517101448E-3</v>
      </c>
      <c r="I61" s="404">
        <f t="shared" ca="1" si="6"/>
        <v>1.5235803081742293E-3</v>
      </c>
      <c r="J61" s="404">
        <f t="shared" ca="1" si="7"/>
        <v>806.29158193789885</v>
      </c>
      <c r="K61" s="411">
        <f t="shared" ca="1" si="8"/>
        <v>262.21300216353927</v>
      </c>
      <c r="L61" s="414">
        <f t="shared" ca="1" si="9"/>
        <v>1612.8582034051144</v>
      </c>
      <c r="M61" s="417">
        <f t="shared" ca="1" si="10"/>
        <v>15.099415143863752</v>
      </c>
    </row>
    <row r="62" spans="2:13" x14ac:dyDescent="0.25">
      <c r="B62" s="426">
        <f t="shared" si="12"/>
        <v>180</v>
      </c>
      <c r="C62" s="404">
        <f t="shared" si="1"/>
        <v>9.3517359315734173E-3</v>
      </c>
      <c r="D62" s="401">
        <f ca="1">MpropuPlein+0.75*MasseSans</f>
        <v>10.260999999999999</v>
      </c>
      <c r="E62" s="401">
        <f t="shared" ca="1" si="2"/>
        <v>9.3244999999999987</v>
      </c>
      <c r="F62" s="401">
        <f t="shared" ca="1" si="3"/>
        <v>8.3879999999999981</v>
      </c>
      <c r="G62" s="408">
        <f t="shared" ca="1" si="4"/>
        <v>75.87156079952959</v>
      </c>
      <c r="H62" s="404">
        <f t="shared" ca="1" si="5"/>
        <v>1.0029208999488893E-3</v>
      </c>
      <c r="I62" s="404">
        <f t="shared" ca="1" si="6"/>
        <v>1.1148946031918716E-3</v>
      </c>
      <c r="J62" s="404">
        <f t="shared" ca="1" si="7"/>
        <v>668.77978448928275</v>
      </c>
      <c r="K62" s="411">
        <f t="shared" ca="1" si="8"/>
        <v>236.37013372677038</v>
      </c>
      <c r="L62" s="414">
        <f t="shared" ca="1" si="9"/>
        <v>1563.3276305083114</v>
      </c>
      <c r="M62" s="417">
        <f t="shared" ca="1" si="10"/>
        <v>16.087552995781902</v>
      </c>
    </row>
    <row r="63" spans="2:13" x14ac:dyDescent="0.25">
      <c r="B63" s="426">
        <f t="shared" si="12"/>
        <v>180</v>
      </c>
      <c r="C63" s="404">
        <f t="shared" si="1"/>
        <v>9.3517359315734173E-3</v>
      </c>
      <c r="D63" s="401">
        <f ca="1">MpropuPlein+1*MasseSans</f>
        <v>12.510999999999999</v>
      </c>
      <c r="E63" s="401">
        <f t="shared" ca="1" si="2"/>
        <v>11.574499999999999</v>
      </c>
      <c r="F63" s="401">
        <f t="shared" ca="1" si="3"/>
        <v>10.637999999999998</v>
      </c>
      <c r="G63" s="408">
        <f t="shared" ca="1" si="4"/>
        <v>59.215678316576401</v>
      </c>
      <c r="H63" s="404">
        <f t="shared" ca="1" si="5"/>
        <v>8.0796025155068624E-4</v>
      </c>
      <c r="I63" s="404">
        <f t="shared" ca="1" si="6"/>
        <v>8.7908779202607815E-4</v>
      </c>
      <c r="J63" s="404">
        <f t="shared" ca="1" si="7"/>
        <v>559.33767231435593</v>
      </c>
      <c r="K63" s="411">
        <f t="shared" ca="1" si="8"/>
        <v>208.82305247707566</v>
      </c>
      <c r="L63" s="414">
        <f t="shared" ca="1" si="9"/>
        <v>1464.1411569838601</v>
      </c>
      <c r="M63" s="417">
        <f t="shared" ca="1" si="10"/>
        <v>16.551711128655491</v>
      </c>
    </row>
    <row r="64" spans="2:13" x14ac:dyDescent="0.25">
      <c r="B64" s="426">
        <f t="shared" si="12"/>
        <v>180</v>
      </c>
      <c r="C64" s="404">
        <f t="shared" si="1"/>
        <v>9.3517359315734173E-3</v>
      </c>
      <c r="D64" s="401">
        <f ca="1">MpropuPlein+1.25*MasseSans</f>
        <v>14.760999999999999</v>
      </c>
      <c r="E64" s="401">
        <f t="shared" ca="1" si="2"/>
        <v>13.824499999999999</v>
      </c>
      <c r="F64" s="401">
        <f t="shared" ca="1" si="3"/>
        <v>12.887999999999998</v>
      </c>
      <c r="G64" s="408">
        <f t="shared" ca="1" si="4"/>
        <v>47.981436484155928</v>
      </c>
      <c r="H64" s="404">
        <f t="shared" ca="1" si="5"/>
        <v>6.7646106054999584E-4</v>
      </c>
      <c r="I64" s="404">
        <f t="shared" ca="1" si="6"/>
        <v>7.2561576129526835E-4</v>
      </c>
      <c r="J64" s="404">
        <f t="shared" ca="1" si="7"/>
        <v>472.92600573200059</v>
      </c>
      <c r="K64" s="411">
        <f t="shared" ca="1" si="8"/>
        <v>183.09261015040801</v>
      </c>
      <c r="L64" s="414">
        <f t="shared" ca="1" si="9"/>
        <v>1332.1366545170454</v>
      </c>
      <c r="M64" s="417">
        <f t="shared" ca="1" si="10"/>
        <v>16.591824038350218</v>
      </c>
    </row>
    <row r="65" spans="2:13" x14ac:dyDescent="0.25">
      <c r="B65" s="426">
        <f t="shared" si="12"/>
        <v>180</v>
      </c>
      <c r="C65" s="404">
        <f t="shared" si="1"/>
        <v>9.3517359315734173E-3</v>
      </c>
      <c r="D65" s="401">
        <f ca="1">MpropuPlein+1.5*MasseSans</f>
        <v>17.010999999999999</v>
      </c>
      <c r="E65" s="401">
        <f t="shared" ca="1" si="2"/>
        <v>16.0745</v>
      </c>
      <c r="F65" s="401">
        <f t="shared" ca="1" si="3"/>
        <v>15.137999999999998</v>
      </c>
      <c r="G65" s="408">
        <f t="shared" ca="1" si="4"/>
        <v>39.892181322916016</v>
      </c>
      <c r="H65" s="404">
        <f t="shared" ca="1" si="5"/>
        <v>5.817746077062065E-4</v>
      </c>
      <c r="I65" s="404">
        <f t="shared" ca="1" si="6"/>
        <v>6.177656184154722E-4</v>
      </c>
      <c r="J65" s="404">
        <f t="shared" ca="1" si="7"/>
        <v>404.20780268925859</v>
      </c>
      <c r="K65" s="411">
        <f t="shared" ca="1" si="8"/>
        <v>160.39655269372869</v>
      </c>
      <c r="L65" s="414">
        <f t="shared" ca="1" si="9"/>
        <v>1183.8050134865914</v>
      </c>
      <c r="M65" s="417">
        <f t="shared" ca="1" si="10"/>
        <v>16.303558652020349</v>
      </c>
    </row>
    <row r="66" spans="2:13" x14ac:dyDescent="0.25">
      <c r="B66" s="426">
        <f t="shared" si="12"/>
        <v>180</v>
      </c>
      <c r="C66" s="404">
        <f t="shared" si="1"/>
        <v>9.3517359315734173E-3</v>
      </c>
      <c r="D66" s="401">
        <f ca="1">MpropuPlein+1.75*MasseSans</f>
        <v>19.260999999999999</v>
      </c>
      <c r="E66" s="401">
        <f t="shared" ca="1" si="2"/>
        <v>18.3245</v>
      </c>
      <c r="F66" s="401">
        <f t="shared" ca="1" si="3"/>
        <v>17.387999999999998</v>
      </c>
      <c r="G66" s="408">
        <f t="shared" ca="1" si="4"/>
        <v>33.789427742924147</v>
      </c>
      <c r="H66" s="404">
        <f t="shared" ca="1" si="5"/>
        <v>5.1034057854639511E-4</v>
      </c>
      <c r="I66" s="404">
        <f t="shared" ca="1" si="6"/>
        <v>5.3782700319607876E-4</v>
      </c>
      <c r="J66" s="404">
        <f t="shared" ca="1" si="7"/>
        <v>348.84808597914304</v>
      </c>
      <c r="K66" s="411">
        <f t="shared" ca="1" si="8"/>
        <v>140.83495257742433</v>
      </c>
      <c r="L66" s="414">
        <f t="shared" ca="1" si="9"/>
        <v>1033.0136920852203</v>
      </c>
      <c r="M66" s="417">
        <f t="shared" ca="1" si="10"/>
        <v>15.781040530418018</v>
      </c>
    </row>
    <row r="67" spans="2:13" x14ac:dyDescent="0.25">
      <c r="B67" s="427">
        <f t="shared" si="12"/>
        <v>180</v>
      </c>
      <c r="C67" s="405">
        <f t="shared" si="1"/>
        <v>9.3517359315734173E-3</v>
      </c>
      <c r="D67" s="402">
        <f ca="1">MpropuPlein+2*MasseSans</f>
        <v>21.510999999999999</v>
      </c>
      <c r="E67" s="402">
        <f t="shared" ca="1" si="2"/>
        <v>20.5745</v>
      </c>
      <c r="F67" s="402">
        <f t="shared" ca="1" si="3"/>
        <v>19.637999999999998</v>
      </c>
      <c r="G67" s="409">
        <f t="shared" ca="1" si="4"/>
        <v>29.021452218776325</v>
      </c>
      <c r="H67" s="405">
        <f t="shared" ca="1" si="5"/>
        <v>4.5453041053602355E-4</v>
      </c>
      <c r="I67" s="405">
        <f t="shared" ca="1" si="6"/>
        <v>4.7620612748617061E-4</v>
      </c>
      <c r="J67" s="405">
        <f t="shared" ca="1" si="7"/>
        <v>303.60028247790439</v>
      </c>
      <c r="K67" s="412">
        <f t="shared" ca="1" si="8"/>
        <v>124.09350247424302</v>
      </c>
      <c r="L67" s="415">
        <f t="shared" ca="1" si="9"/>
        <v>889.68982354822788</v>
      </c>
      <c r="M67" s="418">
        <f t="shared" ca="1" si="10"/>
        <v>15.110378215700704</v>
      </c>
    </row>
    <row r="71" spans="2:13" ht="13" x14ac:dyDescent="0.3">
      <c r="B71" s="24" t="str">
        <f>IF(Lang="Français","Textes pour les graphiques :","Texts for graphics :")</f>
        <v>Textes pour les graphiques :</v>
      </c>
    </row>
    <row r="73" spans="2:13" x14ac:dyDescent="0.25">
      <c r="B73" t="str">
        <f>IF(Lang="Français","Masse totale",IF(Lang="English","Total Mass",""))</f>
        <v>Masse totale</v>
      </c>
    </row>
    <row r="74" spans="2:13" x14ac:dyDescent="0.25">
      <c r="B74" t="str">
        <f>IF(Lang="Français","Vitesse max",IF(Lang="English","Max Velocity",""))</f>
        <v>Vitesse max</v>
      </c>
    </row>
    <row r="75" spans="2:13" x14ac:dyDescent="0.25">
      <c r="B75" t="str">
        <f>Abaco!$B$74 &amp; " / " &amp; Abaco!$B$73</f>
        <v>Vitesse max / Masse totale</v>
      </c>
    </row>
    <row r="76" spans="2:13" x14ac:dyDescent="0.25">
      <c r="B76" t="str">
        <f>IF(Lang="Français","Altitude max",IF(Lang="English","Max Altitude",""))</f>
        <v>Altitude max</v>
      </c>
    </row>
    <row r="77" spans="2:13" x14ac:dyDescent="0.25">
      <c r="B77" t="str">
        <f>Abaco!$B$76 &amp; " / " &amp; Abaco!$B$73</f>
        <v>Altitude max / Masse totale</v>
      </c>
    </row>
    <row r="78" spans="2:13" x14ac:dyDescent="0.25">
      <c r="B78" t="str">
        <f>IF(Lang="Français","Temps de culmination",IF(Lang="English","Apogee time",""))</f>
        <v>Temps de culmination</v>
      </c>
    </row>
    <row r="79" spans="2:13" x14ac:dyDescent="0.25">
      <c r="B79" t="str">
        <f>Abaco!$B$78 &amp; " / " &amp; Abaco!$B$73</f>
        <v>Temps de culmination / Masse totale</v>
      </c>
    </row>
  </sheetData>
  <sheetProtection password="C6AC" sheet="1"/>
  <mergeCells count="12">
    <mergeCell ref="C10:D10"/>
    <mergeCell ref="C12:D12"/>
    <mergeCell ref="C14:D14"/>
    <mergeCell ref="C15:D15"/>
    <mergeCell ref="C16:D16"/>
    <mergeCell ref="C11:D11"/>
    <mergeCell ref="C9:D9"/>
    <mergeCell ref="C2:D3"/>
    <mergeCell ref="C4:D4"/>
    <mergeCell ref="C5:D5"/>
    <mergeCell ref="C7:D7"/>
    <mergeCell ref="C8:D8"/>
  </mergeCells>
  <dataValidations count="3">
    <dataValidation type="decimal" errorStyle="warning" showErrorMessage="1" errorTitle="Cx" error="Le Cx est souvent compris entre 0 et 1._x000a_Cx may be between 0 &amp; 1." sqref="C16:D16" xr:uid="{D81E4ED2-9261-B642-B15E-49553D6C8983}">
      <formula1>0</formula1>
      <formula2>1</formula2>
    </dataValidation>
    <dataValidation operator="greaterThanOrEqual" sqref="C10:D11" xr:uid="{1C08AD22-3102-FB4A-9961-C2D98C3A3BF9}"/>
    <dataValidation sqref="C12:D12" xr:uid="{03A46D1E-7CC5-4549-87C5-1195B5F980EC}"/>
  </dataValidations>
  <hyperlinks>
    <hyperlink ref="B12" location="Stabilito!C17" display="Stabilito!C17" xr:uid="{65AA46A2-0591-9244-969E-2AE41021F0B8}"/>
  </hyperlinks>
  <pageMargins left="0.70866141732283472" right="0.70866141732283472" top="0.74803149606299213" bottom="0.74803149606299213" header="0.31496062992125984" footer="0.31496062992125984"/>
  <pageSetup paperSize="9" scale="92" orientation="landscape"/>
  <drawing r:id="rId1"/>
  <legacyDrawing r:id="rId2"/>
  <oleObjects>
    <mc:AlternateContent xmlns:mc="http://schemas.openxmlformats.org/markup-compatibility/2006">
      <mc:Choice Requires="x14">
        <oleObject progId="Equation.3" shapeId="2604101" r:id="rId3">
          <objectPr defaultSize="0" autoPict="0" r:id="rId4">
            <anchor moveWithCells="1">
              <from>
                <xdr:col>8</xdr:col>
                <xdr:colOff>355600</xdr:colOff>
                <xdr:row>68</xdr:row>
                <xdr:rowOff>25400</xdr:rowOff>
              </from>
              <to>
                <xdr:col>12</xdr:col>
                <xdr:colOff>812800</xdr:colOff>
                <xdr:row>85</xdr:row>
                <xdr:rowOff>12700</xdr:rowOff>
              </to>
            </anchor>
          </objectPr>
        </oleObject>
      </mc:Choice>
      <mc:Fallback>
        <oleObject progId="Equation.3" shapeId="2604101" r:id="rId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04063" r:id="rId5" name="Spinner 31">
              <controlPr defaultSize="0" print="0" autoPict="0">
                <anchor moveWithCells="1" sizeWithCells="1">
                  <from>
                    <xdr:col>3</xdr:col>
                    <xdr:colOff>698500</xdr:colOff>
                    <xdr:row>9</xdr:row>
                    <xdr:rowOff>12700</xdr:rowOff>
                  </from>
                  <to>
                    <xdr:col>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202" r:id="rId6" name="Spinner 170">
              <controlPr defaultSize="0" print="0" autoPict="0">
                <anchor moveWithCells="1" sizeWithCells="1">
                  <from>
                    <xdr:col>3</xdr:col>
                    <xdr:colOff>698500</xdr:colOff>
                    <xdr:row>10</xdr:row>
                    <xdr:rowOff>12700</xdr:rowOff>
                  </from>
                  <to>
                    <xdr:col>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8ED20-6AF7-5A4A-8744-07EF8F441747}">
  <sheetPr codeName="Feuil6">
    <pageSetUpPr fitToPage="1"/>
  </sheetPr>
  <dimension ref="C2:H58"/>
  <sheetViews>
    <sheetView showGridLines="0" workbookViewId="0">
      <selection activeCell="H5" sqref="H5"/>
    </sheetView>
  </sheetViews>
  <sheetFormatPr baseColWidth="10" defaultRowHeight="12.5" x14ac:dyDescent="0.25"/>
  <cols>
    <col min="1" max="1" width="2.1796875" customWidth="1"/>
    <col min="2" max="2" width="16.36328125" customWidth="1"/>
    <col min="3" max="4" width="13.6328125" customWidth="1"/>
  </cols>
  <sheetData>
    <row r="2" spans="3:8" x14ac:dyDescent="0.25">
      <c r="C2" s="625" t="s">
        <v>181</v>
      </c>
      <c r="D2" s="625"/>
    </row>
    <row r="3" spans="3:8" x14ac:dyDescent="0.25">
      <c r="C3" s="625"/>
      <c r="D3" s="625"/>
    </row>
    <row r="5" spans="3:8" ht="13" x14ac:dyDescent="0.3">
      <c r="C5" s="13" t="str">
        <f>IF(Lang="Français","Stabilité de fusée à ailerons","Stability of finned rocket")</f>
        <v>Stabilité de fusée à ailerons</v>
      </c>
    </row>
    <row r="6" spans="3:8" ht="13" x14ac:dyDescent="0.3">
      <c r="C6" s="2" t="str">
        <f>IF(Lang="Français","Calculs de Stabilité basés sur les équations de Barrowman","Stability calculs are based on Barrowman equations")</f>
        <v>Calculs de Stabilité basés sur les équations de Barrowman</v>
      </c>
    </row>
    <row r="7" spans="3:8" ht="13" x14ac:dyDescent="0.3">
      <c r="C7" s="13" t="str">
        <f>IF(Lang="Français","Trajectographie de fusée","Rocket Trajectography")</f>
        <v>Trajectographie de fusée</v>
      </c>
    </row>
    <row r="8" spans="3:8" ht="13" x14ac:dyDescent="0.3">
      <c r="C8" s="2" t="str">
        <f>IF(Lang="Français","Trajectoire dans un plan par calcul pas à pas","Trajectory in a plane, step by step computation")</f>
        <v>Trajectoire dans un plan par calcul pas à pas</v>
      </c>
    </row>
    <row r="9" spans="3:8" ht="13" x14ac:dyDescent="0.3">
      <c r="C9" s="2"/>
    </row>
    <row r="10" spans="3:8" x14ac:dyDescent="0.25">
      <c r="C10" s="14" t="str">
        <f>IF(Lang="Français","Documentation et équations :","Documentation and equations are aviable in french:")</f>
        <v>Documentation et équations :</v>
      </c>
    </row>
    <row r="11" spans="3:8" x14ac:dyDescent="0.25">
      <c r="C11" t="str">
        <f>IF(Lang="Français","voir le dossier technique Planète-Sciences ''Le Vol de la Fusée, Stabilité &amp; Trajectographie''","dossier technique Planète-Sciences ''Le Vol de la Fusée, Stabilité &amp; Trajectographie''")</f>
        <v>voir le dossier technique Planète-Sciences ''Le Vol de la Fusée, Stabilité &amp; Trajectographie''</v>
      </c>
    </row>
    <row r="12" spans="3:8" x14ac:dyDescent="0.25">
      <c r="C12" t="str">
        <f>IF(Lang="Français","Néanmoins, les équations d'intégration du mouvement utilisées sont légèrement différentes !","")</f>
        <v>Néanmoins, les équations d'intégration du mouvement utilisées sont légèrement différentes !</v>
      </c>
    </row>
    <row r="13" spans="3:8" x14ac:dyDescent="0.25">
      <c r="C13" t="str">
        <f>IF(Lang="Français","Logiciels et dossier technique téléchargeables sur :","Softwares and french documentation can be downloaded at:")</f>
        <v>Logiciels et dossier technique téléchargeables sur :</v>
      </c>
      <c r="H13" s="15" t="s">
        <v>40</v>
      </c>
    </row>
    <row r="15" spans="3:8" x14ac:dyDescent="0.25">
      <c r="C15" s="14" t="str">
        <f>IF(Lang="Français","Pour les experts :","For experts:")</f>
        <v>Pour les experts :</v>
      </c>
    </row>
    <row r="16" spans="3:8" x14ac:dyDescent="0.25">
      <c r="C16" t="str">
        <f>IF(Lang="Français","Pour les curieux et les experts, vous pouvez déprotéger les feuilles de calcul (mot de passe : anstj),","Curious people can unlock excel sheets with this password : anstj")</f>
        <v>Pour les curieux et les experts, vous pouvez déprotéger les feuilles de calcul (mot de passe : anstj),</v>
      </c>
    </row>
    <row r="17" spans="3:8" x14ac:dyDescent="0.25">
      <c r="C17" t="str">
        <f>IF(Lang="Français","et faire vos modifications personnelles (ajout de moteur...).","and do your personal modification (adding a motor...)")</f>
        <v>et faire vos modifications personnelles (ajout de moteur...).</v>
      </c>
    </row>
    <row r="18" spans="3:8" x14ac:dyDescent="0.25">
      <c r="C18" t="s">
        <v>423</v>
      </c>
    </row>
    <row r="19" spans="3:8" x14ac:dyDescent="0.25">
      <c r="C19" t="str">
        <f>IF(Lang="Français","Merci néanmoins de diffuser uniquement la version officielle protégée (fichier initial).","Please avoid distributing unlocked version.")</f>
        <v>Merci néanmoins de diffuser uniquement la version officielle protégée (fichier initial).</v>
      </c>
    </row>
    <row r="20" spans="3:8" x14ac:dyDescent="0.25">
      <c r="C20" t="str">
        <f>IF(Lang="Français","Aucune Macro. Mise en forme conditionnelle, Noms de zone.","No macro. Conditionnal formating, named zones.")</f>
        <v>Aucune Macro. Mise en forme conditionnelle, Noms de zone.</v>
      </c>
    </row>
    <row r="21" spans="3:8" x14ac:dyDescent="0.25">
      <c r="C21" s="48" t="str">
        <f>IF(Lang="Français","Pour changer les choix des menus déroulants et les restrictions des cellules jaunes, cf. Données&gt; Validations…", "To change choices menu &amp; yellow cells restrictions, go to data validation.")</f>
        <v>Pour changer les choix des menus déroulants et les restrictions des cellules jaunes, cf. Données&gt; Validations…</v>
      </c>
    </row>
    <row r="22" spans="3:8" x14ac:dyDescent="0.25">
      <c r="C22" s="48" t="str">
        <f>IF(Lang="Français","Les unités sont réglés dans le Format de la cellule.","Units are set in cell number Format")</f>
        <v>Les unités sont réglés dans le Format de la cellule.</v>
      </c>
      <c r="H22" s="15" t="s">
        <v>38</v>
      </c>
    </row>
    <row r="23" spans="3:8" x14ac:dyDescent="0.25">
      <c r="C23" t="str">
        <f>IF(Lang="Français","Vous pouvez proposer vos améliorations en envoyant votre fichier à : ","Send all remarks and improvements proposals to:")</f>
        <v xml:space="preserve">Vous pouvez proposer vos améliorations en envoyant votre fichier à : </v>
      </c>
      <c r="H23" s="15"/>
    </row>
    <row r="25" spans="3:8" x14ac:dyDescent="0.25">
      <c r="C25" s="14" t="str">
        <f>IF(Lang="Français","Licence :","License:")</f>
        <v>Licence :</v>
      </c>
      <c r="D25" s="16"/>
    </row>
    <row r="26" spans="3:8" x14ac:dyDescent="0.25">
      <c r="C26" t="str">
        <f>IF(Lang="Français","Ce logiciel est placé sous la licence Creative Commons BY-SA","This software is placed under Creative Commons licence BY-SA")</f>
        <v>Ce logiciel est placé sous la licence Creative Commons BY-SA</v>
      </c>
      <c r="H26" s="68" t="s">
        <v>125</v>
      </c>
    </row>
    <row r="28" spans="3:8" x14ac:dyDescent="0.25">
      <c r="C28" s="14" t="str">
        <f>IF(Lang="Français","Compatibilité :","Compatibility:")</f>
        <v>Compatibilité :</v>
      </c>
    </row>
    <row r="29" spans="3:8" x14ac:dyDescent="0.25">
      <c r="C29" t="s">
        <v>155</v>
      </c>
    </row>
    <row r="30" spans="3:8" x14ac:dyDescent="0.25">
      <c r="C30" t="s">
        <v>304</v>
      </c>
    </row>
    <row r="31" spans="3:8" x14ac:dyDescent="0.25">
      <c r="C31" s="49" t="s">
        <v>113</v>
      </c>
    </row>
    <row r="33" spans="3:6" x14ac:dyDescent="0.25">
      <c r="C33" s="14" t="str">
        <f>IF(Lang="Français","Historique :","History:")</f>
        <v>Historique :</v>
      </c>
    </row>
    <row r="34" spans="3:6" x14ac:dyDescent="0.25">
      <c r="C34" t="s">
        <v>105</v>
      </c>
      <c r="D34" t="s">
        <v>43</v>
      </c>
      <c r="E34" s="47" t="s">
        <v>104</v>
      </c>
      <c r="F34" t="str">
        <f>IF(Lang="Français","Essais personnels, héritage d'une feuille de calcul de Vincent Girard, ESO","Personnel tests")</f>
        <v>Essais personnels, héritage d'une feuille de calcul de Vincent Girard, ESO</v>
      </c>
    </row>
    <row r="35" spans="3:6" x14ac:dyDescent="0.25">
      <c r="C35" t="s">
        <v>106</v>
      </c>
      <c r="D35" t="s">
        <v>43</v>
      </c>
      <c r="E35" s="16">
        <v>39483</v>
      </c>
      <c r="F35" t="str">
        <f>IF(Lang="Français","Equations de Barrowman généralisées (D_ref), masquage inter-ailerons, bilingue fr-en","Generalized Barrowman equations (D_ref), fin-fin interaction, english translation")</f>
        <v>Equations de Barrowman généralisées (D_ref), masquage inter-ailerons, bilingue fr-en</v>
      </c>
    </row>
    <row r="36" spans="3:6" x14ac:dyDescent="0.25">
      <c r="C36" t="s">
        <v>107</v>
      </c>
      <c r="D36" t="s">
        <v>43</v>
      </c>
      <c r="E36" s="16">
        <v>39507</v>
      </c>
      <c r="F36" t="str">
        <f>IF(Lang="Français","Schéma de la fusée, estimation analytique de la trajecto, diagramme des critères","Rocket schematic, analytical trajecto, criterions diagram")</f>
        <v>Schéma de la fusée, estimation analytique de la trajecto, diagramme des critères</v>
      </c>
    </row>
    <row r="37" spans="3:6" x14ac:dyDescent="0.25">
      <c r="C37" t="s">
        <v>108</v>
      </c>
      <c r="D37" t="s">
        <v>43</v>
      </c>
      <c r="E37" s="16">
        <v>39694</v>
      </c>
      <c r="F37" t="str">
        <f>IF(Lang="Français","Mise en forme","Formatting")</f>
        <v>Mise en forme</v>
      </c>
    </row>
    <row r="38" spans="3:6" x14ac:dyDescent="0.25">
      <c r="C38" t="s">
        <v>109</v>
      </c>
      <c r="D38" t="s">
        <v>43</v>
      </c>
      <c r="E38" s="16">
        <v>39643</v>
      </c>
      <c r="F38" t="str">
        <f>IF(Lang="Français","Essais personnels, héritage d'une feuille de calcul de Félicien Roux, ESO","Personal tests")</f>
        <v>Essais personnels, héritage d'une feuille de calcul de Félicien Roux, ESO</v>
      </c>
    </row>
    <row r="39" spans="3:6" x14ac:dyDescent="0.25">
      <c r="C39" t="s">
        <v>110</v>
      </c>
      <c r="D39" t="s">
        <v>43</v>
      </c>
      <c r="E39" s="16">
        <v>39755</v>
      </c>
      <c r="F39" t="str">
        <f>IF(Lang="Français","Réécriture équations, traduction, érgonomie","Equations, traduction, ergonomy")</f>
        <v>Réécriture équations, traduction, érgonomie</v>
      </c>
    </row>
    <row r="40" spans="3:6" x14ac:dyDescent="0.25">
      <c r="C40" t="s">
        <v>111</v>
      </c>
      <c r="D40" t="s">
        <v>43</v>
      </c>
      <c r="E40" s="16">
        <v>39756</v>
      </c>
      <c r="F40" t="str">
        <f>IF(Lang="Français","Conditions Initiales pour vol 2e étage, 1ère publication","Initial Conditions, 1st publication")</f>
        <v>Conditions Initiales pour vol 2e étage, 1ère publication</v>
      </c>
    </row>
    <row r="41" spans="3:6" x14ac:dyDescent="0.25">
      <c r="C41" t="s">
        <v>112</v>
      </c>
      <c r="D41" t="s">
        <v>43</v>
      </c>
      <c r="E41" s="16">
        <v>40658</v>
      </c>
      <c r="F41" t="s">
        <v>55</v>
      </c>
    </row>
    <row r="42" spans="3:6" x14ac:dyDescent="0.25">
      <c r="C42" t="s">
        <v>182</v>
      </c>
      <c r="D42" t="s">
        <v>43</v>
      </c>
      <c r="E42" s="16">
        <v>40868</v>
      </c>
      <c r="F42" t="str">
        <f>IF(Lang="Français","Fusion Stabilito+Trajecto, mise en forme, Ctrl, RC, H2O, Abaco","Merge Stabilito+Trajecto, formatting, Ctrl, RC, H2O, Abaco")</f>
        <v>Fusion Stabilito+Trajecto, mise en forme, Ctrl, RC, H2O, Abaco</v>
      </c>
    </row>
    <row r="43" spans="3:6" x14ac:dyDescent="0.25">
      <c r="C43" t="s">
        <v>331</v>
      </c>
      <c r="D43" t="s">
        <v>43</v>
      </c>
      <c r="E43" s="16">
        <v>41194</v>
      </c>
      <c r="F43" t="s">
        <v>335</v>
      </c>
    </row>
    <row r="44" spans="3:6" x14ac:dyDescent="0.25">
      <c r="C44" t="s">
        <v>332</v>
      </c>
      <c r="D44" t="s">
        <v>43</v>
      </c>
      <c r="E44" s="16">
        <v>41329</v>
      </c>
      <c r="F44" t="s">
        <v>336</v>
      </c>
    </row>
    <row r="45" spans="3:6" x14ac:dyDescent="0.25">
      <c r="C45" t="s">
        <v>420</v>
      </c>
      <c r="D45" t="s">
        <v>399</v>
      </c>
      <c r="E45" s="16">
        <v>41947</v>
      </c>
      <c r="F45" t="s">
        <v>419</v>
      </c>
    </row>
    <row r="46" spans="3:6" x14ac:dyDescent="0.25">
      <c r="C46" t="s">
        <v>424</v>
      </c>
      <c r="D46" t="s">
        <v>399</v>
      </c>
      <c r="E46" s="16">
        <v>41965</v>
      </c>
      <c r="F46" t="s">
        <v>422</v>
      </c>
    </row>
    <row r="47" spans="3:6" x14ac:dyDescent="0.25">
      <c r="C47" t="s">
        <v>548</v>
      </c>
      <c r="D47" t="s">
        <v>399</v>
      </c>
      <c r="E47" s="16">
        <v>43098</v>
      </c>
      <c r="F47" t="s">
        <v>549</v>
      </c>
    </row>
    <row r="48" spans="3:6" x14ac:dyDescent="0.25">
      <c r="E48" s="16"/>
    </row>
    <row r="50" spans="3:6" x14ac:dyDescent="0.25">
      <c r="C50" s="14" t="str">
        <f>IF(Lang="Français","Paramètres de référence :","Reference parameters:")</f>
        <v>Paramètres de référence :</v>
      </c>
    </row>
    <row r="51" spans="3:6" x14ac:dyDescent="0.25">
      <c r="C51" s="62" t="str">
        <f>IF(Lang="Français","Gravité g :","Gravity g")</f>
        <v>Gravité g :</v>
      </c>
      <c r="E51" s="62">
        <v>9.81</v>
      </c>
      <c r="F51" s="62" t="s">
        <v>7</v>
      </c>
    </row>
    <row r="52" spans="3:6" x14ac:dyDescent="0.25">
      <c r="C52" s="62" t="str">
        <f>IF(Lang="Français","Masse volumique de l'air ρ :","Air density ρ")</f>
        <v>Masse volumique de l'air ρ :</v>
      </c>
      <c r="E52" s="63">
        <v>1.2250000000000001</v>
      </c>
      <c r="F52" s="62" t="s">
        <v>8</v>
      </c>
    </row>
    <row r="53" spans="3:6" x14ac:dyDescent="0.25">
      <c r="C53" s="48"/>
    </row>
    <row r="54" spans="3:6" x14ac:dyDescent="0.25">
      <c r="C54" s="48"/>
    </row>
    <row r="55" spans="3:6" x14ac:dyDescent="0.25">
      <c r="C55" s="48"/>
    </row>
    <row r="56" spans="3:6" x14ac:dyDescent="0.25">
      <c r="C56" s="48"/>
    </row>
    <row r="57" spans="3:6" x14ac:dyDescent="0.25">
      <c r="C57" s="48"/>
    </row>
    <row r="58" spans="3:6" x14ac:dyDescent="0.25">
      <c r="C58" s="48"/>
    </row>
  </sheetData>
  <sheetProtection password="C6AC" sheet="1"/>
  <mergeCells count="1">
    <mergeCell ref="C2:D3"/>
  </mergeCells>
  <phoneticPr fontId="8" type="noConversion"/>
  <hyperlinks>
    <hyperlink ref="H13" r:id="rId1" xr:uid="{C21D9BE1-9F32-2C4F-A087-D3FD3C5F4521}"/>
    <hyperlink ref="H22" r:id="rId2" xr:uid="{033D3A05-292D-7049-9601-C28B3800BA92}"/>
    <hyperlink ref="H26" r:id="rId3" xr:uid="{DA2C0B5F-6759-474D-A1E0-B5D3D0575ABF}"/>
  </hyperlinks>
  <pageMargins left="0.39370078740157483" right="0.39370078740157483" top="0.39370078740157483" bottom="0.39370078740157483" header="0" footer="0"/>
  <pageSetup scale="73" firstPageNumber="0" orientation="portrait" horizontalDpi="300" verticalDpi="300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C7DD-F435-3347-A629-22FA6CA8D978}">
  <sheetPr codeName="Feuil7">
    <pageSetUpPr fitToPage="1"/>
  </sheetPr>
  <dimension ref="B1:U134"/>
  <sheetViews>
    <sheetView showGridLines="0" topLeftCell="D1" zoomScaleNormal="100" workbookViewId="0">
      <selection activeCell="H4" sqref="H4"/>
    </sheetView>
  </sheetViews>
  <sheetFormatPr baseColWidth="10" defaultColWidth="11.6328125" defaultRowHeight="12.5" x14ac:dyDescent="0.25"/>
  <cols>
    <col min="1" max="2" width="2.1796875" customWidth="1"/>
    <col min="3" max="3" width="12.6328125" customWidth="1"/>
    <col min="4" max="4" width="21" customWidth="1"/>
    <col min="7" max="7" width="26.6328125" customWidth="1"/>
    <col min="8" max="9" width="6.6328125" customWidth="1"/>
    <col min="10" max="10" width="10" customWidth="1"/>
    <col min="11" max="11" width="13" customWidth="1"/>
    <col min="12" max="12" width="21.36328125" customWidth="1"/>
    <col min="14" max="14" width="2.1796875" customWidth="1"/>
    <col min="18" max="19" width="16.36328125" customWidth="1"/>
  </cols>
  <sheetData>
    <row r="1" spans="2:21" ht="13.5" thickBot="1" x14ac:dyDescent="0.35">
      <c r="O1" s="6"/>
      <c r="P1" s="48"/>
      <c r="Q1" s="48"/>
      <c r="R1" s="48"/>
      <c r="S1" s="48"/>
      <c r="T1" s="48"/>
      <c r="U1" s="48"/>
    </row>
    <row r="2" spans="2:21" ht="13.5" thickBot="1" x14ac:dyDescent="0.35">
      <c r="B2" s="71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3"/>
      <c r="O2" s="6"/>
      <c r="P2" s="48"/>
      <c r="Q2" s="48"/>
      <c r="R2" s="48"/>
      <c r="S2" s="48"/>
      <c r="T2" s="48"/>
      <c r="U2" s="48"/>
    </row>
    <row r="3" spans="2:21" ht="15.75" customHeight="1" thickBot="1" x14ac:dyDescent="0.35">
      <c r="B3" s="74"/>
      <c r="D3" s="2" t="s">
        <v>433</v>
      </c>
      <c r="N3" s="75"/>
      <c r="O3" s="6"/>
      <c r="P3" s="273" t="s">
        <v>344</v>
      </c>
      <c r="Q3" s="441">
        <f>Long_ogive</f>
        <v>280</v>
      </c>
      <c r="R3" s="48"/>
      <c r="S3" s="48"/>
      <c r="T3" s="48"/>
      <c r="U3" s="48"/>
    </row>
    <row r="4" spans="2:21" ht="15.75" customHeight="1" x14ac:dyDescent="0.3">
      <c r="B4" s="74"/>
      <c r="D4" s="2"/>
      <c r="N4" s="75"/>
      <c r="O4" s="6"/>
      <c r="P4" s="273"/>
      <c r="Q4" s="436"/>
      <c r="R4" s="48"/>
      <c r="S4" s="48"/>
      <c r="T4" s="48"/>
      <c r="U4" s="48"/>
    </row>
    <row r="5" spans="2:21" ht="15.75" customHeight="1" x14ac:dyDescent="0.3">
      <c r="B5" s="74"/>
      <c r="D5" t="s">
        <v>466</v>
      </c>
      <c r="E5" t="str">
        <f>Propu</f>
        <v>Orignal (Pro75-3G)</v>
      </c>
      <c r="G5" t="s">
        <v>463</v>
      </c>
      <c r="H5">
        <f>MasseSans</f>
        <v>9</v>
      </c>
      <c r="N5" s="75"/>
      <c r="O5" s="6"/>
      <c r="P5" s="273"/>
      <c r="Q5" s="436"/>
      <c r="R5" s="48"/>
      <c r="S5" s="48"/>
      <c r="T5" s="48"/>
      <c r="U5" s="48"/>
    </row>
    <row r="6" spans="2:21" ht="13" x14ac:dyDescent="0.3">
      <c r="B6" s="74"/>
      <c r="D6" t="s">
        <v>459</v>
      </c>
      <c r="E6" s="2" t="str">
        <f>Trajecto!H32</f>
        <v>Brun/Orange…</v>
      </c>
      <c r="G6" t="s">
        <v>464</v>
      </c>
      <c r="H6">
        <f>D_ref</f>
        <v>120</v>
      </c>
      <c r="N6" s="75"/>
      <c r="O6" s="6"/>
      <c r="P6" s="273"/>
      <c r="Q6" s="436"/>
      <c r="R6" s="48"/>
      <c r="S6" s="48"/>
      <c r="T6" s="48"/>
      <c r="U6" s="48"/>
    </row>
    <row r="7" spans="2:21" ht="13" x14ac:dyDescent="0.3">
      <c r="B7" s="74"/>
      <c r="D7" t="s">
        <v>461</v>
      </c>
      <c r="E7" s="2" t="str">
        <f>Trajecto!H33</f>
        <v>Rouge…</v>
      </c>
      <c r="G7" t="s">
        <v>5</v>
      </c>
      <c r="H7">
        <f>Cx</f>
        <v>0.6</v>
      </c>
      <c r="N7" s="75"/>
      <c r="O7" s="6"/>
      <c r="P7" s="273"/>
      <c r="Q7" s="436"/>
      <c r="R7" s="48"/>
      <c r="S7" s="48"/>
      <c r="T7" s="48"/>
      <c r="U7" s="48"/>
    </row>
    <row r="8" spans="2:21" ht="13" x14ac:dyDescent="0.3">
      <c r="B8" s="74"/>
      <c r="D8" t="s">
        <v>462</v>
      </c>
      <c r="E8" s="2">
        <f>S_para</f>
        <v>1.5070049999999999</v>
      </c>
      <c r="G8" t="s">
        <v>465</v>
      </c>
      <c r="H8">
        <f>L_rampe</f>
        <v>4</v>
      </c>
      <c r="N8" s="75"/>
      <c r="O8" s="6"/>
      <c r="P8" s="273"/>
      <c r="Q8" s="436"/>
      <c r="R8" s="48"/>
      <c r="S8" s="48"/>
      <c r="T8" s="48"/>
      <c r="U8" s="48"/>
    </row>
    <row r="9" spans="2:21" ht="13" x14ac:dyDescent="0.3">
      <c r="B9" s="74"/>
      <c r="D9" t="s">
        <v>460</v>
      </c>
      <c r="E9" s="2"/>
      <c r="G9" t="s">
        <v>149</v>
      </c>
      <c r="H9" s="534" t="str">
        <f>Forme_ogive</f>
        <v>Conique (droite)</v>
      </c>
      <c r="N9" s="75"/>
      <c r="O9" s="6"/>
      <c r="P9" s="273"/>
      <c r="Q9" s="436"/>
      <c r="R9" s="48"/>
      <c r="S9" s="48"/>
      <c r="T9" s="48"/>
      <c r="U9" s="48"/>
    </row>
    <row r="10" spans="2:21" ht="13" x14ac:dyDescent="0.3">
      <c r="B10" s="74"/>
      <c r="F10" s="3"/>
      <c r="G10" s="6"/>
      <c r="N10" s="75"/>
      <c r="O10" s="523"/>
      <c r="P10" s="48"/>
      <c r="Q10" s="436"/>
      <c r="R10" s="48"/>
      <c r="S10" s="48"/>
      <c r="T10" s="48"/>
      <c r="U10" s="48"/>
    </row>
    <row r="11" spans="2:21" ht="13.5" thickBot="1" x14ac:dyDescent="0.35">
      <c r="B11" s="74"/>
      <c r="C11" s="12"/>
      <c r="D11" s="275" t="s">
        <v>458</v>
      </c>
      <c r="E11" s="243">
        <f>MasseSans</f>
        <v>9</v>
      </c>
      <c r="F11" s="246" t="s">
        <v>126</v>
      </c>
      <c r="G11" s="246" t="s">
        <v>128</v>
      </c>
      <c r="H11" s="658">
        <f ca="1">Vsortie_de_rampe</f>
        <v>24.647854813179482</v>
      </c>
      <c r="I11" s="659"/>
      <c r="J11" s="76"/>
      <c r="N11" s="75"/>
      <c r="P11" s="48"/>
      <c r="Q11" s="436"/>
      <c r="R11" s="48"/>
      <c r="S11" s="48"/>
      <c r="T11" s="48"/>
      <c r="U11" s="440">
        <f>IF(RIGHT(Nb_diam,1)=",", "", X_j)</f>
        <v>900</v>
      </c>
    </row>
    <row r="12" spans="2:21" ht="13.5" thickBot="1" x14ac:dyDescent="0.35">
      <c r="B12" s="74"/>
      <c r="C12" s="12"/>
      <c r="D12" s="276"/>
      <c r="E12" s="244"/>
      <c r="F12" s="6" t="s">
        <v>126</v>
      </c>
      <c r="G12" s="6" t="s">
        <v>129</v>
      </c>
      <c r="H12" s="660">
        <f>Finesse</f>
        <v>15</v>
      </c>
      <c r="I12" s="661"/>
      <c r="J12" s="76"/>
      <c r="N12" s="75"/>
      <c r="O12" s="6"/>
      <c r="P12" s="273" t="s">
        <v>345</v>
      </c>
      <c r="Q12" s="441">
        <f>D_og</f>
        <v>64</v>
      </c>
      <c r="R12" s="48"/>
      <c r="S12" s="48"/>
      <c r="T12" s="48"/>
      <c r="U12" s="436"/>
    </row>
    <row r="13" spans="2:21" ht="13" x14ac:dyDescent="0.3">
      <c r="B13" s="74"/>
      <c r="C13" s="12"/>
      <c r="D13" s="276" t="s">
        <v>5</v>
      </c>
      <c r="E13" s="244">
        <f>Cx</f>
        <v>0.6</v>
      </c>
      <c r="F13" s="6" t="s">
        <v>126</v>
      </c>
      <c r="G13" s="6" t="s">
        <v>437</v>
      </c>
      <c r="H13" s="660">
        <f>Cn</f>
        <v>16.599434354533827</v>
      </c>
      <c r="I13" s="661"/>
      <c r="J13" s="76"/>
      <c r="N13" s="75"/>
      <c r="O13" s="6"/>
      <c r="P13" s="48"/>
      <c r="Q13" s="436"/>
      <c r="R13" s="48"/>
      <c r="S13" s="48"/>
      <c r="T13" s="48"/>
      <c r="U13" s="440">
        <f>IF(RIGHT(Nb_diam,1)=",", "", X_r)</f>
        <v>1750</v>
      </c>
    </row>
    <row r="14" spans="2:21" ht="13" x14ac:dyDescent="0.3">
      <c r="B14" s="74"/>
      <c r="C14" s="12"/>
      <c r="D14" s="276" t="s">
        <v>146</v>
      </c>
      <c r="E14" s="244">
        <f>L_rampe</f>
        <v>4</v>
      </c>
      <c r="F14" s="6" t="s">
        <v>126</v>
      </c>
      <c r="G14" s="6" t="s">
        <v>130</v>
      </c>
      <c r="H14" s="247">
        <f ca="1">MS_min</f>
        <v>2.6006408492063522</v>
      </c>
      <c r="I14" s="254">
        <f ca="1">MS_max</f>
        <v>4.1554749843844032</v>
      </c>
      <c r="J14" s="76"/>
      <c r="K14" s="76"/>
      <c r="N14" s="75"/>
      <c r="P14" s="48"/>
      <c r="Q14" s="436"/>
      <c r="R14" s="48"/>
      <c r="S14" s="48"/>
      <c r="T14" s="48"/>
      <c r="U14" s="436"/>
    </row>
    <row r="15" spans="2:21" ht="13" x14ac:dyDescent="0.3">
      <c r="B15" s="74"/>
      <c r="C15" s="12"/>
      <c r="D15" s="276" t="s">
        <v>147</v>
      </c>
      <c r="E15" s="244">
        <f>ep_ail</f>
        <v>4</v>
      </c>
      <c r="F15" s="6" t="s">
        <v>126</v>
      </c>
      <c r="G15" s="6" t="s">
        <v>127</v>
      </c>
      <c r="H15" s="247">
        <f ca="1">MS_Cn_min</f>
        <v>43.169167056119946</v>
      </c>
      <c r="I15" s="254">
        <f ca="1">MS_Cn_max</f>
        <v>88.681424773952727</v>
      </c>
      <c r="J15" s="76"/>
      <c r="K15" s="76"/>
      <c r="N15" s="75"/>
      <c r="P15" s="48"/>
      <c r="Q15" s="436"/>
      <c r="R15" s="48"/>
      <c r="S15" s="48"/>
      <c r="T15" s="48"/>
    </row>
    <row r="16" spans="2:21" ht="13" x14ac:dyDescent="0.3">
      <c r="B16" s="74"/>
      <c r="C16" s="12"/>
      <c r="D16" s="276" t="s">
        <v>148</v>
      </c>
      <c r="E16" s="244">
        <f>Q_ail</f>
        <v>4</v>
      </c>
      <c r="F16" s="6" t="s">
        <v>131</v>
      </c>
      <c r="G16" s="6" t="s">
        <v>132</v>
      </c>
      <c r="H16" s="247">
        <f ca="1">V_para</f>
        <v>10.632958125381908</v>
      </c>
      <c r="I16" s="253">
        <f>V_satellite</f>
        <v>12.655562623057198</v>
      </c>
      <c r="J16" s="76"/>
      <c r="N16" s="75"/>
      <c r="P16" s="48"/>
      <c r="Q16" s="436"/>
      <c r="R16" s="48"/>
      <c r="S16" s="48"/>
      <c r="T16" s="48"/>
      <c r="U16" s="440">
        <f>IF(RIGHT(Nb_diam,1)=",", "", l_j)</f>
        <v>150</v>
      </c>
    </row>
    <row r="17" spans="2:21" ht="13" x14ac:dyDescent="0.3">
      <c r="B17" s="74"/>
      <c r="C17" s="12"/>
      <c r="D17" s="276" t="s">
        <v>149</v>
      </c>
      <c r="E17" s="272" t="str">
        <f>Forme_ogive</f>
        <v>Conique (droite)</v>
      </c>
      <c r="F17" s="6" t="s">
        <v>133</v>
      </c>
      <c r="G17" s="6" t="s">
        <v>134</v>
      </c>
      <c r="H17" s="660">
        <f>T_para</f>
        <v>19</v>
      </c>
      <c r="I17" s="661"/>
      <c r="J17" s="258"/>
      <c r="N17" s="75"/>
      <c r="P17" s="434" t="s">
        <v>346</v>
      </c>
      <c r="Q17" s="440">
        <f>IF(RIGHT(Nb_diam,1)=",", "", D2j)</f>
        <v>120</v>
      </c>
      <c r="R17" s="48"/>
      <c r="S17" s="48"/>
      <c r="T17" s="48"/>
      <c r="U17" s="436"/>
    </row>
    <row r="18" spans="2:21" ht="13" x14ac:dyDescent="0.3">
      <c r="B18" s="74"/>
      <c r="C18" s="12"/>
      <c r="D18" s="276" t="s">
        <v>151</v>
      </c>
      <c r="E18" s="244">
        <f ca="1">XpropuRef-Long_propu</f>
        <v>1314</v>
      </c>
      <c r="F18" s="12" t="s">
        <v>133</v>
      </c>
      <c r="G18" s="12" t="s">
        <v>431</v>
      </c>
      <c r="H18" s="627">
        <f ca="1">T_para-Combustion-Depotage</f>
        <v>19</v>
      </c>
      <c r="I18" s="664"/>
      <c r="N18" s="75"/>
      <c r="P18" s="48"/>
      <c r="Q18" s="436"/>
      <c r="R18" s="48"/>
      <c r="S18" s="48"/>
    </row>
    <row r="19" spans="2:21" ht="13" x14ac:dyDescent="0.3">
      <c r="B19" s="74"/>
      <c r="C19" s="533"/>
      <c r="D19" s="269"/>
      <c r="E19" s="271"/>
      <c r="F19" s="521" t="s">
        <v>135</v>
      </c>
      <c r="G19" s="274" t="s">
        <v>430</v>
      </c>
      <c r="H19" s="665">
        <f ca="1">Portee_balistique</f>
        <v>638.40045476391947</v>
      </c>
      <c r="I19" s="666"/>
      <c r="N19" s="75"/>
      <c r="P19" s="48"/>
      <c r="Q19" s="436"/>
      <c r="R19" s="48"/>
      <c r="S19" s="48"/>
      <c r="T19" s="48"/>
    </row>
    <row r="20" spans="2:21" ht="13" x14ac:dyDescent="0.3">
      <c r="B20" s="74"/>
      <c r="C20" s="12"/>
      <c r="D20" s="6"/>
      <c r="E20" s="6"/>
      <c r="H20" s="520"/>
      <c r="I20" s="520"/>
      <c r="N20" s="75"/>
      <c r="P20" s="48"/>
      <c r="Q20" s="436"/>
      <c r="R20" s="48"/>
      <c r="S20" s="48"/>
      <c r="T20" s="48"/>
      <c r="U20" s="440">
        <f>IF(RIGHT(Nb_diam,1)=",", "", l_r)</f>
        <v>50</v>
      </c>
    </row>
    <row r="21" spans="2:21" ht="13" x14ac:dyDescent="0.3">
      <c r="B21" s="74"/>
      <c r="C21" s="12"/>
      <c r="D21" s="6"/>
      <c r="E21" s="263"/>
      <c r="F21" s="3"/>
      <c r="G21" s="6"/>
      <c r="H21" s="520"/>
      <c r="I21" s="520"/>
      <c r="N21" s="75"/>
      <c r="O21" s="273"/>
      <c r="P21" s="436"/>
      <c r="Q21" s="48"/>
      <c r="R21" s="48"/>
      <c r="S21" s="48"/>
      <c r="T21" s="226"/>
      <c r="U21" s="436"/>
    </row>
    <row r="22" spans="2:21" ht="13" x14ac:dyDescent="0.3">
      <c r="B22" s="74"/>
      <c r="C22" s="528" t="s">
        <v>457</v>
      </c>
      <c r="D22" s="528" t="s">
        <v>441</v>
      </c>
      <c r="E22" s="529"/>
      <c r="F22" s="530" t="s">
        <v>446</v>
      </c>
      <c r="G22" s="528" t="s">
        <v>451</v>
      </c>
      <c r="I22" s="531"/>
      <c r="J22" s="532" t="s">
        <v>159</v>
      </c>
      <c r="K22" s="528" t="s">
        <v>160</v>
      </c>
      <c r="N22" s="75"/>
      <c r="O22" s="273"/>
      <c r="P22" s="436"/>
      <c r="Q22" s="48"/>
      <c r="R22" s="48"/>
      <c r="S22" s="48"/>
      <c r="T22" s="226"/>
      <c r="U22" s="436"/>
    </row>
    <row r="23" spans="2:21" ht="13" x14ac:dyDescent="0.3">
      <c r="B23" s="74"/>
      <c r="C23" s="528" t="s">
        <v>456</v>
      </c>
      <c r="D23" s="529">
        <f>XcgSans</f>
        <v>709</v>
      </c>
      <c r="E23" s="529" t="s">
        <v>39</v>
      </c>
      <c r="F23" s="530">
        <f>m_ail</f>
        <v>264</v>
      </c>
      <c r="G23" s="528">
        <f>m_can</f>
        <v>178</v>
      </c>
      <c r="I23" s="531" t="s">
        <v>452</v>
      </c>
      <c r="J23" s="530">
        <f>l_j</f>
        <v>150</v>
      </c>
      <c r="K23" s="528">
        <f>l_r</f>
        <v>50</v>
      </c>
      <c r="N23" s="75"/>
      <c r="O23" s="273"/>
      <c r="P23" s="436"/>
      <c r="Q23" s="48"/>
      <c r="R23" s="48"/>
      <c r="S23" s="48"/>
      <c r="T23" s="226"/>
      <c r="U23" s="436"/>
    </row>
    <row r="24" spans="2:21" ht="13" x14ac:dyDescent="0.3">
      <c r="B24" s="74"/>
      <c r="C24" s="528" t="s">
        <v>444</v>
      </c>
      <c r="D24" s="528">
        <f>Long_tot</f>
        <v>1800</v>
      </c>
      <c r="E24" s="529" t="s">
        <v>447</v>
      </c>
      <c r="F24" s="530">
        <f>n_ail</f>
        <v>110</v>
      </c>
      <c r="G24" s="528">
        <f>n_can</f>
        <v>80</v>
      </c>
      <c r="I24" s="531" t="s">
        <v>453</v>
      </c>
      <c r="J24" s="530">
        <f>D1j</f>
        <v>64</v>
      </c>
      <c r="K24" s="528">
        <f>D1r</f>
        <v>120</v>
      </c>
      <c r="N24" s="75"/>
      <c r="O24" s="273"/>
      <c r="P24" s="436"/>
      <c r="Q24" s="48"/>
      <c r="R24" s="48"/>
      <c r="S24" s="48"/>
      <c r="T24" s="226"/>
      <c r="U24" s="436"/>
    </row>
    <row r="25" spans="2:21" ht="13" x14ac:dyDescent="0.3">
      <c r="B25" s="74"/>
      <c r="C25" s="528" t="s">
        <v>445</v>
      </c>
      <c r="D25" s="528">
        <f>XpropuRef</f>
        <v>1800</v>
      </c>
      <c r="E25" s="529" t="s">
        <v>448</v>
      </c>
      <c r="F25" s="530">
        <f>p_ail</f>
        <v>214</v>
      </c>
      <c r="G25" s="528">
        <f>p_can</f>
        <v>140</v>
      </c>
      <c r="I25" s="531" t="s">
        <v>454</v>
      </c>
      <c r="J25" s="530">
        <f>D2j</f>
        <v>120</v>
      </c>
      <c r="K25" s="528">
        <f>D2r</f>
        <v>120</v>
      </c>
      <c r="N25" s="75"/>
      <c r="O25" s="273"/>
      <c r="P25" s="436"/>
      <c r="Q25" s="48"/>
      <c r="R25" s="48"/>
      <c r="S25" s="48"/>
      <c r="T25" s="226"/>
      <c r="U25" s="436"/>
    </row>
    <row r="26" spans="2:21" ht="13" x14ac:dyDescent="0.3">
      <c r="B26" s="74"/>
      <c r="C26" s="528" t="s">
        <v>442</v>
      </c>
      <c r="D26" s="528">
        <f>D_ref</f>
        <v>120</v>
      </c>
      <c r="E26" s="529" t="s">
        <v>449</v>
      </c>
      <c r="F26" s="530">
        <f>E_ail</f>
        <v>159</v>
      </c>
      <c r="G26" s="528">
        <f>E_can</f>
        <v>100</v>
      </c>
      <c r="I26" s="531" t="s">
        <v>455</v>
      </c>
      <c r="J26" s="530">
        <f>X_j</f>
        <v>900</v>
      </c>
      <c r="K26" s="528">
        <f>X_r</f>
        <v>1750</v>
      </c>
      <c r="N26" s="75"/>
      <c r="O26" s="273"/>
      <c r="P26" s="436"/>
      <c r="Q26" s="48"/>
      <c r="R26" s="48"/>
      <c r="S26" s="48"/>
      <c r="T26" s="226"/>
      <c r="U26" s="436"/>
    </row>
    <row r="27" spans="2:21" ht="13" x14ac:dyDescent="0.3">
      <c r="B27" s="74"/>
      <c r="C27" s="528" t="s">
        <v>443</v>
      </c>
      <c r="D27" s="528">
        <f>Long_ogive</f>
        <v>280</v>
      </c>
      <c r="E27" s="529" t="s">
        <v>450</v>
      </c>
      <c r="F27" s="530">
        <f>X_ail</f>
        <v>1750</v>
      </c>
      <c r="G27" s="528">
        <f>X_can</f>
        <v>1000</v>
      </c>
      <c r="H27" s="520"/>
      <c r="I27" s="3"/>
      <c r="J27" s="2"/>
      <c r="N27" s="75"/>
      <c r="O27" s="273"/>
      <c r="P27" s="436"/>
      <c r="Q27" s="48"/>
      <c r="R27" s="48"/>
      <c r="S27" s="48"/>
      <c r="T27" s="226"/>
      <c r="U27" s="436"/>
    </row>
    <row r="28" spans="2:21" ht="13.5" thickBot="1" x14ac:dyDescent="0.35">
      <c r="B28" s="74"/>
      <c r="E28" s="95"/>
      <c r="N28" s="75"/>
      <c r="O28" s="2"/>
      <c r="P28" s="6"/>
      <c r="Q28" s="2"/>
      <c r="R28" s="48"/>
      <c r="S28" s="48"/>
      <c r="T28" s="48"/>
      <c r="U28" s="436"/>
    </row>
    <row r="29" spans="2:21" ht="13.5" thickBot="1" x14ac:dyDescent="0.35">
      <c r="B29" s="74"/>
      <c r="C29" s="663" t="s">
        <v>144</v>
      </c>
      <c r="D29" s="663" t="s">
        <v>136</v>
      </c>
      <c r="E29" s="663" t="s">
        <v>137</v>
      </c>
      <c r="F29" s="663"/>
      <c r="G29" s="663"/>
      <c r="H29" s="662" t="s">
        <v>138</v>
      </c>
      <c r="I29" s="662"/>
      <c r="J29" s="662"/>
      <c r="K29" s="662"/>
      <c r="L29" s="663" t="s">
        <v>139</v>
      </c>
      <c r="M29" s="663" t="s">
        <v>140</v>
      </c>
      <c r="N29" s="75"/>
      <c r="O29" s="273" t="s">
        <v>434</v>
      </c>
      <c r="P29" s="441">
        <f>n_ail</f>
        <v>110</v>
      </c>
      <c r="Q29" s="2"/>
      <c r="R29" s="48"/>
      <c r="S29" s="48"/>
      <c r="T29" s="48"/>
      <c r="U29" s="12" t="s">
        <v>438</v>
      </c>
    </row>
    <row r="30" spans="2:21" ht="13.5" thickBot="1" x14ac:dyDescent="0.35">
      <c r="B30" s="74"/>
      <c r="C30" s="663"/>
      <c r="D30" s="663"/>
      <c r="E30" s="663"/>
      <c r="F30" s="663"/>
      <c r="G30" s="663"/>
      <c r="H30" s="662" t="s">
        <v>141</v>
      </c>
      <c r="I30" s="662"/>
      <c r="J30" s="69" t="s">
        <v>142</v>
      </c>
      <c r="K30" s="70" t="s">
        <v>143</v>
      </c>
      <c r="L30" s="663"/>
      <c r="M30" s="663"/>
      <c r="N30" s="75"/>
      <c r="P30" s="12"/>
      <c r="R30" s="48"/>
      <c r="S30" s="48"/>
      <c r="T30" s="226" t="s">
        <v>436</v>
      </c>
      <c r="U30" s="525">
        <f>[0]!p_can</f>
        <v>140</v>
      </c>
    </row>
    <row r="31" spans="2:21" ht="13.5" thickBot="1" x14ac:dyDescent="0.35">
      <c r="B31" s="74"/>
      <c r="C31" s="83">
        <f>Beta_rampe</f>
        <v>85</v>
      </c>
      <c r="D31" s="84">
        <f ca="1">Portee_balistique</f>
        <v>638.40045476391947</v>
      </c>
      <c r="E31" s="671">
        <f ca="1">T_para+Dt_para</f>
        <v>207.24157915832561</v>
      </c>
      <c r="F31" s="671"/>
      <c r="G31" s="671"/>
      <c r="H31" s="672">
        <f ca="1">Altitude_culmi</f>
        <v>2003.535757896926</v>
      </c>
      <c r="I31" s="672"/>
      <c r="J31" s="85">
        <f ca="1">Temps_culmi</f>
        <v>19.599999999999948</v>
      </c>
      <c r="K31" s="86">
        <f ca="1">Vit_culmi</f>
        <v>15.737576195554743</v>
      </c>
      <c r="L31" s="84">
        <f ca="1">Acc_max</f>
        <v>92.799419596995548</v>
      </c>
      <c r="M31" s="86">
        <f ca="1">Vit_max</f>
        <v>230.09908389735511</v>
      </c>
      <c r="N31" s="75"/>
      <c r="O31" s="273" t="s">
        <v>440</v>
      </c>
      <c r="P31" s="441">
        <f>ep_ail</f>
        <v>4</v>
      </c>
      <c r="Q31" s="2"/>
      <c r="R31" s="48"/>
      <c r="S31" s="48"/>
      <c r="T31" s="226" t="s">
        <v>348</v>
      </c>
      <c r="U31" s="525">
        <f>[0]!m_can</f>
        <v>178</v>
      </c>
    </row>
    <row r="32" spans="2:21" ht="13.5" thickBot="1" x14ac:dyDescent="0.35">
      <c r="B32" s="74"/>
      <c r="C32" s="522"/>
      <c r="D32" s="242"/>
      <c r="E32" s="247"/>
      <c r="F32" s="247"/>
      <c r="G32" s="247"/>
      <c r="H32" s="283"/>
      <c r="I32" s="283"/>
      <c r="J32" s="247"/>
      <c r="K32" s="248"/>
      <c r="L32" s="242"/>
      <c r="M32" s="248"/>
      <c r="N32" s="75"/>
      <c r="O32" s="273" t="s">
        <v>439</v>
      </c>
      <c r="P32" s="524">
        <f>Q_ail</f>
        <v>4</v>
      </c>
      <c r="Q32" s="2"/>
      <c r="R32" s="48"/>
      <c r="S32" s="48"/>
      <c r="T32" s="226" t="s">
        <v>434</v>
      </c>
      <c r="U32" s="525">
        <f>[0]!n_can</f>
        <v>80</v>
      </c>
    </row>
    <row r="33" spans="2:21" ht="13.5" thickBot="1" x14ac:dyDescent="0.35">
      <c r="B33" s="74"/>
      <c r="D33" s="80"/>
      <c r="E33" s="81"/>
      <c r="F33" s="81"/>
      <c r="G33" s="81"/>
      <c r="H33" s="82"/>
      <c r="I33" s="82"/>
      <c r="J33" s="81"/>
      <c r="K33" s="76"/>
      <c r="L33" s="80"/>
      <c r="M33" s="76"/>
      <c r="N33" s="75"/>
      <c r="O33" s="2"/>
      <c r="Q33" s="2"/>
      <c r="R33" s="48"/>
      <c r="S33" s="48"/>
      <c r="T33" s="226" t="s">
        <v>435</v>
      </c>
      <c r="U33" s="525">
        <f>[0]!E_can</f>
        <v>100</v>
      </c>
    </row>
    <row r="34" spans="2:21" ht="13.5" thickBot="1" x14ac:dyDescent="0.35">
      <c r="B34" s="77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9"/>
      <c r="O34" s="2"/>
      <c r="P34" s="273" t="s">
        <v>435</v>
      </c>
      <c r="Q34" s="441">
        <f>E_ail</f>
        <v>159</v>
      </c>
      <c r="T34" s="226" t="s">
        <v>440</v>
      </c>
      <c r="U34" s="525">
        <f>[0]!ep_can</f>
        <v>3</v>
      </c>
    </row>
    <row r="35" spans="2:21" ht="13" x14ac:dyDescent="0.3">
      <c r="O35" s="2"/>
      <c r="P35" s="6"/>
      <c r="Q35" s="6"/>
      <c r="T35" s="226" t="s">
        <v>439</v>
      </c>
      <c r="U35" s="525">
        <f>[0]!Q_can</f>
        <v>4</v>
      </c>
    </row>
    <row r="36" spans="2:21" ht="13.5" thickBot="1" x14ac:dyDescent="0.35">
      <c r="T36" s="2"/>
      <c r="U36" s="12"/>
    </row>
    <row r="37" spans="2:21" ht="13" x14ac:dyDescent="0.3">
      <c r="B37" s="71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3"/>
      <c r="T37" s="2"/>
    </row>
    <row r="38" spans="2:21" ht="13" x14ac:dyDescent="0.3">
      <c r="B38" s="74"/>
      <c r="D38" s="2" t="s">
        <v>198</v>
      </c>
      <c r="N38" s="75"/>
    </row>
    <row r="39" spans="2:21" ht="13" x14ac:dyDescent="0.3">
      <c r="B39" s="74"/>
      <c r="D39" s="2"/>
      <c r="N39" s="75"/>
    </row>
    <row r="40" spans="2:21" ht="13" x14ac:dyDescent="0.3">
      <c r="B40" s="74"/>
      <c r="D40" s="275" t="s">
        <v>152</v>
      </c>
      <c r="E40" s="246">
        <f>D_ref</f>
        <v>120</v>
      </c>
      <c r="F40" s="265"/>
      <c r="G40" s="265"/>
      <c r="H40" s="261" t="s">
        <v>201</v>
      </c>
      <c r="I40" s="261" t="s">
        <v>202</v>
      </c>
      <c r="J40" s="262" t="s">
        <v>203</v>
      </c>
      <c r="N40" s="75"/>
    </row>
    <row r="41" spans="2:21" ht="13" x14ac:dyDescent="0.3">
      <c r="B41" s="74"/>
      <c r="D41" s="276" t="s">
        <v>150</v>
      </c>
      <c r="E41" s="6">
        <f>Long_ogive</f>
        <v>280</v>
      </c>
      <c r="F41" s="2"/>
      <c r="G41" s="2" t="s">
        <v>204</v>
      </c>
      <c r="H41" s="6">
        <f>MasseSans</f>
        <v>9</v>
      </c>
      <c r="I41" s="6">
        <f ca="1">MasseVide</f>
        <v>10.638</v>
      </c>
      <c r="J41" s="244">
        <f ca="1">MassePlein</f>
        <v>12.510999999999999</v>
      </c>
      <c r="N41" s="75"/>
    </row>
    <row r="42" spans="2:21" ht="13" x14ac:dyDescent="0.3">
      <c r="B42" s="74"/>
      <c r="D42" s="276" t="s">
        <v>153</v>
      </c>
      <c r="E42" s="6">
        <f>X_ail-m_ail</f>
        <v>1486</v>
      </c>
      <c r="F42" s="255"/>
      <c r="G42" s="255" t="s">
        <v>221</v>
      </c>
      <c r="H42" s="263">
        <f>XcgSans</f>
        <v>709</v>
      </c>
      <c r="I42" s="263">
        <f ca="1">XcgVide</f>
        <v>839.57191201353635</v>
      </c>
      <c r="J42" s="245">
        <f ca="1">XcgPlein</f>
        <v>946.97682039804977</v>
      </c>
      <c r="N42" s="75"/>
    </row>
    <row r="43" spans="2:21" ht="13" x14ac:dyDescent="0.3">
      <c r="B43" s="74"/>
      <c r="D43" s="276" t="str">
        <f>IF(Lang="Français","Emplanture 'm'",IF(Lang="English","Root edge  'm'",""))</f>
        <v>Emplanture 'm'</v>
      </c>
      <c r="E43" s="244">
        <f>m_ail</f>
        <v>264</v>
      </c>
      <c r="N43" s="75"/>
    </row>
    <row r="44" spans="2:21" ht="13" x14ac:dyDescent="0.3">
      <c r="B44" s="74"/>
      <c r="D44" s="276" t="str">
        <f>IF(Lang="Français","Saumon      'n'",IF(Lang="English","Tip edge    'n'",""))</f>
        <v>Saumon      'n'</v>
      </c>
      <c r="E44" s="244">
        <f>n_ail</f>
        <v>110</v>
      </c>
      <c r="F44" s="246" t="s">
        <v>205</v>
      </c>
      <c r="G44" s="246" t="s">
        <v>210</v>
      </c>
      <c r="H44" s="658">
        <f ca="1">Vsortie_de_rampe</f>
        <v>24.647854813179482</v>
      </c>
      <c r="I44" s="659"/>
      <c r="N44" s="75"/>
    </row>
    <row r="45" spans="2:21" ht="13" x14ac:dyDescent="0.3">
      <c r="B45" s="74"/>
      <c r="D45" s="276" t="str">
        <f>IF(Lang="Français","Flèche        'p'",IF(Lang="English","Offset         'p'",""))</f>
        <v>Flèche        'p'</v>
      </c>
      <c r="E45" s="244">
        <f>p_ail</f>
        <v>214</v>
      </c>
      <c r="F45" s="6" t="s">
        <v>206</v>
      </c>
      <c r="G45" s="6" t="s">
        <v>211</v>
      </c>
      <c r="H45" s="660">
        <f>Finesse</f>
        <v>15</v>
      </c>
      <c r="I45" s="661"/>
      <c r="N45" s="75"/>
    </row>
    <row r="46" spans="2:21" ht="13" x14ac:dyDescent="0.3">
      <c r="B46" s="74"/>
      <c r="D46" s="276" t="str">
        <f>IF(Lang="Français","Envergure   'E'",IF(Lang="English","Span          'E'",""))</f>
        <v>Envergure   'E'</v>
      </c>
      <c r="E46" s="244">
        <f>E_ail</f>
        <v>159</v>
      </c>
      <c r="F46" s="6" t="s">
        <v>207</v>
      </c>
      <c r="G46" s="6" t="s">
        <v>212</v>
      </c>
      <c r="H46" s="660">
        <f>Cn</f>
        <v>16.599434354533827</v>
      </c>
      <c r="I46" s="661"/>
      <c r="N46" s="75"/>
    </row>
    <row r="47" spans="2:21" ht="13" x14ac:dyDescent="0.3">
      <c r="B47" s="74"/>
      <c r="D47" s="276" t="s">
        <v>147</v>
      </c>
      <c r="E47" s="244">
        <f>ep_ail</f>
        <v>4</v>
      </c>
      <c r="F47" s="6" t="s">
        <v>208</v>
      </c>
      <c r="G47" s="6" t="s">
        <v>213</v>
      </c>
      <c r="H47" s="247">
        <f ca="1">MS_min</f>
        <v>2.6006408492063522</v>
      </c>
      <c r="I47" s="254">
        <f ca="1">MS_max</f>
        <v>4.1554749843844032</v>
      </c>
      <c r="N47" s="75"/>
    </row>
    <row r="48" spans="2:21" ht="13" x14ac:dyDescent="0.3">
      <c r="B48" s="74"/>
      <c r="D48" s="276" t="s">
        <v>148</v>
      </c>
      <c r="E48" s="244">
        <f>Q_ail</f>
        <v>4</v>
      </c>
      <c r="F48" s="274" t="s">
        <v>209</v>
      </c>
      <c r="G48" s="274" t="s">
        <v>214</v>
      </c>
      <c r="H48" s="256">
        <f ca="1">MS_Cn_min</f>
        <v>43.169167056119946</v>
      </c>
      <c r="I48" s="264">
        <f ca="1">MS_Cn_max</f>
        <v>88.681424773952727</v>
      </c>
      <c r="N48" s="75"/>
    </row>
    <row r="49" spans="2:14" ht="13" x14ac:dyDescent="0.3">
      <c r="B49" s="74"/>
      <c r="D49" s="276" t="s">
        <v>151</v>
      </c>
      <c r="E49" s="244">
        <f ca="1">XpropuRef-Long_propu</f>
        <v>1314</v>
      </c>
      <c r="N49" s="75"/>
    </row>
    <row r="50" spans="2:14" ht="13" x14ac:dyDescent="0.3">
      <c r="B50" s="74"/>
      <c r="D50" s="276" t="s">
        <v>149</v>
      </c>
      <c r="E50" s="272" t="str">
        <f>Forme_ogive</f>
        <v>Conique (droite)</v>
      </c>
      <c r="F50" s="273" t="s">
        <v>186</v>
      </c>
      <c r="G50" s="275" t="s">
        <v>5</v>
      </c>
      <c r="H50" s="246">
        <f>Cx</f>
        <v>0.6</v>
      </c>
      <c r="I50" s="265"/>
      <c r="J50" s="266"/>
      <c r="N50" s="75"/>
    </row>
    <row r="51" spans="2:14" ht="13" x14ac:dyDescent="0.3">
      <c r="B51" s="74"/>
      <c r="D51" s="276" t="s">
        <v>145</v>
      </c>
      <c r="E51" s="244">
        <f>Long_tot</f>
        <v>1800</v>
      </c>
      <c r="G51" s="276" t="s">
        <v>215</v>
      </c>
      <c r="H51" s="6">
        <f>Sref</f>
        <v>1.3853733552923256E-2</v>
      </c>
      <c r="J51" s="267"/>
      <c r="N51" s="75"/>
    </row>
    <row r="52" spans="2:14" ht="13" x14ac:dyDescent="0.3">
      <c r="B52" s="74"/>
      <c r="D52" s="276" t="s">
        <v>199</v>
      </c>
      <c r="E52" s="244">
        <f>MAX(D_ref,D_ail,D_og,(RIGHT(Nb_diam,1)=",")*MAX(D1j,D1r,D2j,D2r))</f>
        <v>120</v>
      </c>
      <c r="G52" s="276" t="s">
        <v>216</v>
      </c>
      <c r="H52" s="6">
        <f>Beta_rampe</f>
        <v>85</v>
      </c>
      <c r="I52" s="6">
        <v>80</v>
      </c>
      <c r="J52" s="244">
        <v>90</v>
      </c>
      <c r="N52" s="75"/>
    </row>
    <row r="53" spans="2:14" ht="13" x14ac:dyDescent="0.3">
      <c r="B53" s="74"/>
      <c r="D53" s="277" t="s">
        <v>200</v>
      </c>
      <c r="E53" s="260">
        <f>E_ail*2+D_ail</f>
        <v>382</v>
      </c>
      <c r="G53" s="278" t="s">
        <v>218</v>
      </c>
      <c r="H53" s="247">
        <f ca="1">Temps_culmi</f>
        <v>19.599999999999948</v>
      </c>
      <c r="I53" s="259"/>
      <c r="J53" s="268"/>
      <c r="N53" s="75"/>
    </row>
    <row r="54" spans="2:14" ht="13" x14ac:dyDescent="0.3">
      <c r="B54" s="74"/>
      <c r="G54" s="278" t="s">
        <v>219</v>
      </c>
      <c r="H54" s="242">
        <f ca="1">Altitude_culmi</f>
        <v>2003.535757896926</v>
      </c>
      <c r="I54" s="259"/>
      <c r="J54" s="268"/>
      <c r="N54" s="75"/>
    </row>
    <row r="55" spans="2:14" ht="13" x14ac:dyDescent="0.3">
      <c r="B55" s="74"/>
      <c r="C55" s="275" t="s">
        <v>236</v>
      </c>
      <c r="D55" s="249" t="s">
        <v>63</v>
      </c>
      <c r="E55" s="243">
        <f>Long_tot</f>
        <v>1800</v>
      </c>
      <c r="G55" s="278" t="s">
        <v>220</v>
      </c>
      <c r="H55" s="248">
        <f ca="1">Vit_culmi</f>
        <v>15.737576195554743</v>
      </c>
      <c r="I55" s="259"/>
      <c r="J55" s="268"/>
      <c r="N55" s="75"/>
    </row>
    <row r="56" spans="2:14" ht="13" x14ac:dyDescent="0.3">
      <c r="B56" s="74"/>
      <c r="C56" s="276"/>
      <c r="D56" s="2" t="s">
        <v>222</v>
      </c>
      <c r="E56" s="244">
        <f>MAX(D_ref,D_ail,D_og,(RIGHT(Nb_diam,1)=",")*MAX(D1j,D1r,D2j,D2r))</f>
        <v>120</v>
      </c>
      <c r="G56" s="278" t="s">
        <v>136</v>
      </c>
      <c r="H56" s="242">
        <f ca="1">Portee_balistique</f>
        <v>638.40045476391947</v>
      </c>
      <c r="I56" s="259"/>
      <c r="J56" s="268"/>
      <c r="N56" s="75"/>
    </row>
    <row r="57" spans="2:14" ht="13" x14ac:dyDescent="0.3">
      <c r="B57" s="74"/>
      <c r="C57" s="276"/>
      <c r="D57" s="2" t="s">
        <v>223</v>
      </c>
      <c r="E57" s="244">
        <f>E_ail*2+D_ail</f>
        <v>382</v>
      </c>
      <c r="G57" s="278" t="s">
        <v>217</v>
      </c>
      <c r="H57" s="242">
        <f ca="1">T_balistique</f>
        <v>42.900000000000276</v>
      </c>
      <c r="I57" s="259"/>
      <c r="J57" s="268"/>
      <c r="N57" s="75"/>
    </row>
    <row r="58" spans="2:14" ht="13" x14ac:dyDescent="0.3">
      <c r="B58" s="74"/>
      <c r="C58" s="276"/>
      <c r="D58" s="2" t="s">
        <v>224</v>
      </c>
      <c r="E58" s="244">
        <f ca="1">MassePlein</f>
        <v>12.510999999999999</v>
      </c>
      <c r="G58" s="278" t="s">
        <v>140</v>
      </c>
      <c r="H58" s="248">
        <f ca="1">Vit_max</f>
        <v>230.09908389735511</v>
      </c>
      <c r="I58" s="259"/>
      <c r="J58" s="268"/>
      <c r="N58" s="75"/>
    </row>
    <row r="59" spans="2:14" ht="13" x14ac:dyDescent="0.3">
      <c r="B59" s="74"/>
      <c r="C59" s="277" t="s">
        <v>237</v>
      </c>
      <c r="D59" s="255" t="s">
        <v>148</v>
      </c>
      <c r="E59" s="260">
        <f>Q_ail</f>
        <v>4</v>
      </c>
      <c r="G59" s="278" t="s">
        <v>139</v>
      </c>
      <c r="H59" s="242">
        <f ca="1">Acc_max</f>
        <v>92.799419596995548</v>
      </c>
      <c r="I59" s="259"/>
      <c r="J59" s="268"/>
      <c r="N59" s="75"/>
    </row>
    <row r="60" spans="2:14" x14ac:dyDescent="0.25">
      <c r="B60" s="74"/>
      <c r="C60" s="12"/>
      <c r="G60" s="269" t="s">
        <v>225</v>
      </c>
      <c r="H60" s="270"/>
      <c r="I60" s="270"/>
      <c r="J60" s="271"/>
      <c r="N60" s="75"/>
    </row>
    <row r="61" spans="2:14" ht="13" x14ac:dyDescent="0.3">
      <c r="B61" s="74"/>
      <c r="C61" s="275"/>
      <c r="D61" s="249"/>
      <c r="E61" s="246" t="s">
        <v>229</v>
      </c>
      <c r="F61" s="243" t="s">
        <v>230</v>
      </c>
      <c r="G61" s="2"/>
      <c r="H61" s="2"/>
      <c r="I61" s="2"/>
      <c r="J61" s="2"/>
      <c r="K61" s="2"/>
      <c r="N61" s="75"/>
    </row>
    <row r="62" spans="2:14" ht="13" x14ac:dyDescent="0.3">
      <c r="B62" s="74"/>
      <c r="C62" s="276" t="s">
        <v>238</v>
      </c>
      <c r="D62" s="2" t="s">
        <v>228</v>
      </c>
      <c r="E62" s="242">
        <f ca="1">2*Acc_max*MassePlein</f>
        <v>2322.0270771560226</v>
      </c>
      <c r="F62" s="280">
        <f ca="1">E62/9.81</f>
        <v>236.70000786503797</v>
      </c>
      <c r="H62" s="2"/>
      <c r="I62" s="2"/>
      <c r="J62" s="2"/>
      <c r="K62" s="2"/>
      <c r="N62" s="75"/>
    </row>
    <row r="63" spans="2:14" ht="13" x14ac:dyDescent="0.3">
      <c r="B63" s="74"/>
      <c r="C63" s="276"/>
      <c r="D63" s="2" t="s">
        <v>226</v>
      </c>
      <c r="E63" s="242">
        <f ca="1">2*Acc_max*Masse_ail</f>
        <v>44.147282286039498</v>
      </c>
      <c r="F63" s="248">
        <f ca="1">E63/9.81</f>
        <v>4.5002326489336895</v>
      </c>
      <c r="G63" s="246" t="s">
        <v>232</v>
      </c>
      <c r="H63" s="288">
        <f>S_ail*(ep_ail/1000)*2000</f>
        <v>0.23786399999999999</v>
      </c>
      <c r="I63" s="2"/>
      <c r="J63" s="2"/>
      <c r="K63" s="2"/>
      <c r="N63" s="75"/>
    </row>
    <row r="64" spans="2:14" ht="13" x14ac:dyDescent="0.3">
      <c r="B64" s="74"/>
      <c r="C64" s="277"/>
      <c r="D64" s="255" t="s">
        <v>227</v>
      </c>
      <c r="E64" s="263">
        <f ca="1">0.104*S_ail*Vit_max^2</f>
        <v>163.7200427414744</v>
      </c>
      <c r="F64" s="281">
        <f ca="1">E64/9.81</f>
        <v>16.689097119416349</v>
      </c>
      <c r="G64" s="274" t="s">
        <v>231</v>
      </c>
      <c r="H64" s="289">
        <f>(E_ail*(m_ail+n_ail)/2)/10^6</f>
        <v>2.9732999999999999E-2</v>
      </c>
      <c r="I64" s="2"/>
      <c r="J64" s="2"/>
      <c r="K64" s="2"/>
      <c r="N64" s="75"/>
    </row>
    <row r="65" spans="2:14" ht="13" x14ac:dyDescent="0.3">
      <c r="B65" s="74"/>
      <c r="C65" s="282" t="s">
        <v>245</v>
      </c>
      <c r="D65" s="285" t="s">
        <v>243</v>
      </c>
      <c r="E65" s="286">
        <f ca="1">2*Acc_max*H65</f>
        <v>1161.0135385780113</v>
      </c>
      <c r="F65" s="286">
        <f ca="1">E65/9.81</f>
        <v>118.35000393251899</v>
      </c>
      <c r="G65" s="287" t="s">
        <v>244</v>
      </c>
      <c r="H65" s="279">
        <f ca="1">E58/2</f>
        <v>6.2554999999999996</v>
      </c>
      <c r="I65" s="2"/>
      <c r="J65" s="2"/>
      <c r="K65" s="2"/>
      <c r="N65" s="75"/>
    </row>
    <row r="66" spans="2:14" ht="13" x14ac:dyDescent="0.3">
      <c r="B66" s="74"/>
      <c r="C66" s="6"/>
      <c r="D66" s="2"/>
      <c r="E66" s="2"/>
      <c r="F66" s="2"/>
      <c r="G66" s="2"/>
      <c r="H66" s="2"/>
      <c r="I66" s="2"/>
      <c r="J66" s="2"/>
      <c r="K66" s="2"/>
      <c r="N66" s="75"/>
    </row>
    <row r="67" spans="2:14" ht="13" x14ac:dyDescent="0.3">
      <c r="B67" s="74"/>
      <c r="F67" s="275" t="s">
        <v>235</v>
      </c>
      <c r="G67" s="249" t="s">
        <v>233</v>
      </c>
      <c r="H67" s="250">
        <f>T_para</f>
        <v>19</v>
      </c>
      <c r="I67" s="251">
        <f ca="1">Temps_culmi</f>
        <v>19.599999999999948</v>
      </c>
      <c r="J67" s="2"/>
      <c r="K67" s="2"/>
      <c r="N67" s="75"/>
    </row>
    <row r="68" spans="2:14" ht="13" x14ac:dyDescent="0.3">
      <c r="B68" s="74"/>
      <c r="C68" s="6"/>
      <c r="D68" s="2"/>
      <c r="E68" s="2"/>
      <c r="F68" s="275" t="s">
        <v>234</v>
      </c>
      <c r="G68" s="249" t="s">
        <v>132</v>
      </c>
      <c r="H68" s="250">
        <f ca="1">V_para</f>
        <v>10.632958125381908</v>
      </c>
      <c r="I68" s="251">
        <f>V_satellite</f>
        <v>12.655562623057198</v>
      </c>
      <c r="J68" s="2"/>
      <c r="K68" s="2"/>
      <c r="N68" s="75"/>
    </row>
    <row r="69" spans="2:14" ht="13" x14ac:dyDescent="0.3">
      <c r="B69" s="74"/>
      <c r="C69" s="6"/>
      <c r="D69" s="2"/>
      <c r="E69" s="2"/>
      <c r="F69" s="276"/>
      <c r="G69" s="2" t="s">
        <v>240</v>
      </c>
      <c r="H69" s="247">
        <f>S_para</f>
        <v>1.5070049999999999</v>
      </c>
      <c r="I69" s="253">
        <f>S_satellite</f>
        <v>0.1</v>
      </c>
      <c r="J69" s="2"/>
      <c r="K69" s="2"/>
      <c r="N69" s="75"/>
    </row>
    <row r="70" spans="2:14" ht="13" x14ac:dyDescent="0.3">
      <c r="B70" s="74"/>
      <c r="C70" s="226"/>
      <c r="D70" s="2"/>
      <c r="F70" s="276"/>
      <c r="G70" s="2" t="s">
        <v>239</v>
      </c>
      <c r="H70" s="247">
        <f ca="1">V_ouverture</f>
        <v>16.981251141128492</v>
      </c>
      <c r="I70" s="253">
        <f ca="1">V_ouv_sat</f>
        <v>209.84954923936763</v>
      </c>
      <c r="N70" s="75"/>
    </row>
    <row r="71" spans="2:14" ht="13" x14ac:dyDescent="0.3">
      <c r="B71" s="74"/>
      <c r="C71" s="226"/>
      <c r="F71" s="276"/>
      <c r="G71" s="2" t="s">
        <v>204</v>
      </c>
      <c r="H71" s="247">
        <f ca="1">m_vide</f>
        <v>10.638</v>
      </c>
      <c r="I71" s="253">
        <f>m_satellite</f>
        <v>1</v>
      </c>
      <c r="N71" s="75"/>
    </row>
    <row r="72" spans="2:14" ht="13" x14ac:dyDescent="0.3">
      <c r="B72" s="74"/>
      <c r="C72" s="226"/>
      <c r="F72" s="276"/>
      <c r="G72" s="2" t="s">
        <v>241</v>
      </c>
      <c r="H72" s="283">
        <f ca="1">1/2*Rho_moyen*S_para*V_ouverture^2</f>
        <v>266.17064448332428</v>
      </c>
      <c r="I72" s="284">
        <f ca="1">1/2*Rho_moyen*S_satellite*V_ouv_sat^2</f>
        <v>2697.2560406029042</v>
      </c>
      <c r="N72" s="75"/>
    </row>
    <row r="73" spans="2:14" ht="13" x14ac:dyDescent="0.3">
      <c r="B73" s="74"/>
      <c r="D73" s="2"/>
      <c r="F73" s="277"/>
      <c r="G73" s="255" t="s">
        <v>242</v>
      </c>
      <c r="H73" s="256">
        <f ca="1">H72/9.81</f>
        <v>27.132583535507059</v>
      </c>
      <c r="I73" s="257">
        <f ca="1">I72/9.81</f>
        <v>274.94964736013293</v>
      </c>
      <c r="N73" s="75"/>
    </row>
    <row r="74" spans="2:14" ht="13" thickBot="1" x14ac:dyDescent="0.3">
      <c r="B74" s="77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9"/>
    </row>
    <row r="76" spans="2:14" ht="13" thickBot="1" x14ac:dyDescent="0.3"/>
    <row r="77" spans="2:14" x14ac:dyDescent="0.25">
      <c r="B77" s="71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3"/>
    </row>
    <row r="78" spans="2:14" ht="13" x14ac:dyDescent="0.3">
      <c r="B78" s="74"/>
      <c r="D78" s="2" t="s">
        <v>337</v>
      </c>
      <c r="N78" s="75"/>
    </row>
    <row r="79" spans="2:14" ht="12.75" customHeight="1" x14ac:dyDescent="0.35">
      <c r="B79" s="74"/>
      <c r="E79" s="48"/>
      <c r="F79" s="48"/>
      <c r="G79" s="435" t="s">
        <v>343</v>
      </c>
      <c r="I79" s="448"/>
      <c r="J79" s="48"/>
      <c r="K79" s="48"/>
      <c r="N79" s="75"/>
    </row>
    <row r="80" spans="2:14" ht="13" x14ac:dyDescent="0.3">
      <c r="B80" s="74"/>
      <c r="C80" s="275" t="s">
        <v>338</v>
      </c>
      <c r="D80" s="243" t="str">
        <f>Nom</f>
        <v>SP-02-alpha</v>
      </c>
      <c r="E80" s="48"/>
      <c r="F80" s="48"/>
      <c r="G80" s="48"/>
      <c r="H80" s="48"/>
      <c r="I80" s="48"/>
      <c r="J80" s="48"/>
      <c r="K80" s="48"/>
      <c r="N80" s="75"/>
    </row>
    <row r="81" spans="2:14" ht="13.5" thickBot="1" x14ac:dyDescent="0.35">
      <c r="B81" s="74"/>
      <c r="C81" s="276" t="s">
        <v>4</v>
      </c>
      <c r="D81" s="244" t="str">
        <f>Club</f>
        <v>l'AéroIPSA</v>
      </c>
      <c r="E81" s="48"/>
      <c r="F81" s="48"/>
      <c r="G81" s="48"/>
      <c r="H81" s="48"/>
      <c r="I81" s="48"/>
      <c r="J81" s="48"/>
      <c r="K81" s="48"/>
      <c r="N81" s="75"/>
    </row>
    <row r="82" spans="2:14" ht="13.5" thickBot="1" x14ac:dyDescent="0.35">
      <c r="B82" s="74"/>
      <c r="C82" s="432" t="s">
        <v>339</v>
      </c>
      <c r="D82" s="244" t="s">
        <v>14</v>
      </c>
      <c r="E82" s="273" t="s">
        <v>344</v>
      </c>
      <c r="F82" s="441">
        <f>Long_ogive</f>
        <v>280</v>
      </c>
      <c r="G82" s="48"/>
      <c r="H82" s="48"/>
      <c r="I82" s="48"/>
      <c r="J82" s="48"/>
      <c r="K82" s="48"/>
      <c r="N82" s="75"/>
    </row>
    <row r="83" spans="2:14" ht="13" x14ac:dyDescent="0.3">
      <c r="B83" s="74"/>
      <c r="C83" s="277" t="s">
        <v>340</v>
      </c>
      <c r="D83" s="433">
        <f ca="1">TODAY()</f>
        <v>45707</v>
      </c>
      <c r="E83" s="48"/>
      <c r="F83" s="436"/>
      <c r="G83" s="48"/>
      <c r="H83" s="48"/>
      <c r="I83" s="48"/>
      <c r="J83" s="48"/>
      <c r="K83" s="48"/>
      <c r="N83" s="75"/>
    </row>
    <row r="84" spans="2:14" ht="13" thickBot="1" x14ac:dyDescent="0.3">
      <c r="B84" s="74"/>
      <c r="E84" s="48"/>
      <c r="F84" s="436"/>
      <c r="G84" s="48"/>
      <c r="H84" s="48"/>
      <c r="I84" s="48"/>
      <c r="J84" s="440">
        <f>IF(RIGHT(Nb_diam,1)=",", "", X_j)</f>
        <v>900</v>
      </c>
      <c r="K84" s="48"/>
      <c r="N84" s="75"/>
    </row>
    <row r="85" spans="2:14" ht="13.5" thickBot="1" x14ac:dyDescent="0.35">
      <c r="B85" s="74"/>
      <c r="C85" s="275" t="s">
        <v>341</v>
      </c>
      <c r="D85" s="243" t="str">
        <f>Propu</f>
        <v>Orignal (Pro75-3G)</v>
      </c>
      <c r="E85" s="273" t="s">
        <v>345</v>
      </c>
      <c r="F85" s="441">
        <f>D_og</f>
        <v>64</v>
      </c>
      <c r="G85" s="48"/>
      <c r="H85" s="48"/>
      <c r="I85" s="48"/>
      <c r="J85" s="436"/>
      <c r="K85" s="48"/>
      <c r="N85" s="75"/>
    </row>
    <row r="86" spans="2:14" ht="13" x14ac:dyDescent="0.3">
      <c r="B86" s="74"/>
      <c r="C86" s="277" t="s">
        <v>342</v>
      </c>
      <c r="D86" s="260" t="s">
        <v>14</v>
      </c>
      <c r="E86" s="48"/>
      <c r="F86" s="436"/>
      <c r="G86" s="48"/>
      <c r="H86" s="48"/>
      <c r="I86" s="48"/>
      <c r="J86" s="440">
        <f>IF(RIGHT(Nb_diam,1)=",", "", X_r)</f>
        <v>1750</v>
      </c>
      <c r="K86" s="48"/>
      <c r="N86" s="75"/>
    </row>
    <row r="87" spans="2:14" x14ac:dyDescent="0.25">
      <c r="B87" s="74"/>
      <c r="E87" s="48"/>
      <c r="F87" s="436"/>
      <c r="G87" s="48"/>
      <c r="H87" s="48"/>
      <c r="I87" s="48"/>
      <c r="J87" s="436"/>
      <c r="K87" s="48"/>
      <c r="N87" s="75"/>
    </row>
    <row r="88" spans="2:14" x14ac:dyDescent="0.25">
      <c r="B88" s="74"/>
      <c r="E88" s="48"/>
      <c r="F88" s="436"/>
      <c r="G88" s="48"/>
      <c r="H88" s="48"/>
      <c r="I88" s="48"/>
      <c r="J88" s="440">
        <f>IF(RIGHT(Nb_diam,1)=",", "", l_j)</f>
        <v>150</v>
      </c>
      <c r="K88" s="48"/>
      <c r="N88" s="75"/>
    </row>
    <row r="89" spans="2:14" ht="13" thickBot="1" x14ac:dyDescent="0.3">
      <c r="B89" s="74"/>
      <c r="E89" s="48"/>
      <c r="F89" s="436"/>
      <c r="G89" s="48"/>
      <c r="H89" s="48"/>
      <c r="I89" s="48"/>
      <c r="J89" s="436"/>
      <c r="K89" s="48"/>
      <c r="N89" s="75"/>
    </row>
    <row r="90" spans="2:14" ht="13.5" thickBot="1" x14ac:dyDescent="0.35">
      <c r="B90" s="74"/>
      <c r="E90" s="434" t="s">
        <v>346</v>
      </c>
      <c r="F90" s="440">
        <f>IF(RIGHT(Nb_diam,1)=",", "", D2j)</f>
        <v>120</v>
      </c>
      <c r="G90" s="48"/>
      <c r="H90" s="48"/>
      <c r="I90" s="48"/>
      <c r="J90" s="441">
        <f>X_ail-m_ail</f>
        <v>1486</v>
      </c>
      <c r="K90" s="2"/>
      <c r="N90" s="75"/>
    </row>
    <row r="91" spans="2:14" x14ac:dyDescent="0.25">
      <c r="B91" s="74"/>
      <c r="E91" s="48"/>
      <c r="F91" s="436"/>
      <c r="G91" s="48"/>
      <c r="H91" s="48"/>
      <c r="I91" s="48"/>
      <c r="J91" s="436"/>
      <c r="K91" s="48"/>
      <c r="N91" s="75"/>
    </row>
    <row r="92" spans="2:14" x14ac:dyDescent="0.25">
      <c r="B92" s="74"/>
      <c r="E92" s="48"/>
      <c r="F92" s="436"/>
      <c r="G92" s="48"/>
      <c r="H92" s="48"/>
      <c r="I92" s="48"/>
      <c r="J92" s="440">
        <f>IF(RIGHT(Nb_diam,1)=",", "", l_r)</f>
        <v>50</v>
      </c>
      <c r="K92" s="48"/>
      <c r="N92" s="75"/>
    </row>
    <row r="93" spans="2:14" x14ac:dyDescent="0.25">
      <c r="B93" s="74"/>
      <c r="E93" s="48"/>
      <c r="F93" s="436"/>
      <c r="G93" s="48"/>
      <c r="H93" s="48"/>
      <c r="I93" s="48"/>
      <c r="J93" s="436"/>
      <c r="K93" s="48"/>
      <c r="N93" s="75"/>
    </row>
    <row r="94" spans="2:14" x14ac:dyDescent="0.25">
      <c r="B94" s="74"/>
      <c r="E94" s="434" t="s">
        <v>347</v>
      </c>
      <c r="F94" s="440">
        <f>IF(RIGHT(Nb_diam,1)=",", "", D2r)</f>
        <v>120</v>
      </c>
      <c r="G94" s="48"/>
      <c r="H94" s="48"/>
      <c r="I94" s="48"/>
      <c r="J94" s="436"/>
      <c r="K94" s="48"/>
      <c r="N94" s="75"/>
    </row>
    <row r="95" spans="2:14" x14ac:dyDescent="0.25">
      <c r="B95" s="74"/>
      <c r="E95" s="48"/>
      <c r="F95" s="436"/>
      <c r="G95" s="48"/>
      <c r="H95" s="48"/>
      <c r="I95" s="48"/>
      <c r="J95" s="436"/>
      <c r="K95" s="48"/>
      <c r="N95" s="75"/>
    </row>
    <row r="96" spans="2:14" ht="13" thickBot="1" x14ac:dyDescent="0.3">
      <c r="B96" s="74"/>
      <c r="E96" s="48"/>
      <c r="F96" s="436"/>
      <c r="G96" s="48"/>
      <c r="H96" s="48"/>
      <c r="I96" s="48"/>
      <c r="J96" s="436"/>
      <c r="K96" s="48"/>
      <c r="N96" s="75"/>
    </row>
    <row r="97" spans="2:14" ht="13.5" thickBot="1" x14ac:dyDescent="0.35">
      <c r="B97" s="74"/>
      <c r="E97" s="273" t="s">
        <v>348</v>
      </c>
      <c r="F97" s="441">
        <f>m_ail</f>
        <v>264</v>
      </c>
      <c r="G97" s="48"/>
      <c r="H97" s="48"/>
      <c r="I97" s="48"/>
      <c r="J97" s="441">
        <f>p_ail</f>
        <v>214</v>
      </c>
      <c r="K97" s="2"/>
      <c r="N97" s="75"/>
    </row>
    <row r="98" spans="2:14" x14ac:dyDescent="0.25">
      <c r="B98" s="74"/>
      <c r="E98" s="48"/>
      <c r="F98" s="48"/>
      <c r="G98" s="48"/>
      <c r="H98" s="48"/>
      <c r="I98" s="48"/>
      <c r="J98" s="436"/>
      <c r="K98" s="48"/>
      <c r="N98" s="75"/>
    </row>
    <row r="99" spans="2:14" x14ac:dyDescent="0.25">
      <c r="B99" s="74"/>
      <c r="E99" s="48"/>
      <c r="F99" s="48"/>
      <c r="G99" s="48"/>
      <c r="H99" s="48"/>
      <c r="I99" s="48"/>
      <c r="J99" s="436"/>
      <c r="K99" s="48"/>
      <c r="N99" s="75"/>
    </row>
    <row r="100" spans="2:14" ht="13.5" thickBot="1" x14ac:dyDescent="0.35">
      <c r="B100" s="74"/>
      <c r="D100" s="429" t="s">
        <v>350</v>
      </c>
      <c r="E100" s="246">
        <f>Q_ail</f>
        <v>4</v>
      </c>
      <c r="F100" s="430"/>
      <c r="G100" s="48"/>
      <c r="H100" s="48"/>
      <c r="I100" s="48"/>
      <c r="J100" s="436"/>
      <c r="K100" s="48"/>
      <c r="N100" s="75"/>
    </row>
    <row r="101" spans="2:14" ht="13.5" thickBot="1" x14ac:dyDescent="0.35">
      <c r="B101" s="74"/>
      <c r="D101" s="437" t="s">
        <v>354</v>
      </c>
      <c r="E101" s="6">
        <f ca="1">XpropuRef-Long_propu</f>
        <v>1314</v>
      </c>
      <c r="F101" s="252"/>
      <c r="G101" s="48"/>
      <c r="H101" s="48"/>
      <c r="I101" s="48"/>
      <c r="J101" s="441">
        <f>n_ail</f>
        <v>110</v>
      </c>
      <c r="K101" s="2"/>
      <c r="N101" s="75"/>
    </row>
    <row r="102" spans="2:14" ht="13" x14ac:dyDescent="0.3">
      <c r="B102" s="74"/>
      <c r="D102" s="437" t="s">
        <v>351</v>
      </c>
      <c r="E102" s="6">
        <f>IF(LEFT(Forme_ogive,4)="Ogiv",1,0)</f>
        <v>0</v>
      </c>
      <c r="F102" s="252" t="s">
        <v>352</v>
      </c>
      <c r="G102" s="48"/>
      <c r="H102" s="48"/>
      <c r="I102" s="48"/>
      <c r="J102" s="436"/>
      <c r="K102" s="48"/>
      <c r="N102" s="75"/>
    </row>
    <row r="103" spans="2:14" ht="13" x14ac:dyDescent="0.3">
      <c r="B103" s="74"/>
      <c r="D103" s="437"/>
      <c r="E103" s="6">
        <f>IF(LEFT(Forme_ogive,3)="Con",1,0)</f>
        <v>1</v>
      </c>
      <c r="F103" s="252" t="s">
        <v>162</v>
      </c>
      <c r="G103" s="48"/>
      <c r="H103" s="48"/>
      <c r="I103" s="48"/>
      <c r="J103" s="436"/>
      <c r="K103" s="48"/>
      <c r="N103" s="75"/>
    </row>
    <row r="104" spans="2:14" ht="13.5" thickBot="1" x14ac:dyDescent="0.35">
      <c r="B104" s="74"/>
      <c r="D104" s="431"/>
      <c r="E104" s="274">
        <f>IF(LEFT(Forme_ogive,5)="Parab",1,0)</f>
        <v>0</v>
      </c>
      <c r="F104" s="289" t="s">
        <v>353</v>
      </c>
      <c r="G104" s="48"/>
      <c r="H104" s="48"/>
      <c r="I104" s="48"/>
      <c r="J104" s="12" t="s">
        <v>349</v>
      </c>
      <c r="K104" s="48"/>
      <c r="N104" s="75"/>
    </row>
    <row r="105" spans="2:14" ht="13.5" thickBot="1" x14ac:dyDescent="0.35">
      <c r="B105" s="74"/>
      <c r="D105" s="2"/>
      <c r="E105" s="2"/>
      <c r="F105" s="2"/>
      <c r="G105" s="273"/>
      <c r="H105" s="441">
        <f>E_ail</f>
        <v>159</v>
      </c>
      <c r="I105" s="273"/>
      <c r="J105" s="441">
        <f>ep_ail</f>
        <v>4</v>
      </c>
      <c r="K105" s="48"/>
      <c r="N105" s="75"/>
    </row>
    <row r="106" spans="2:14" ht="13" x14ac:dyDescent="0.3">
      <c r="B106" s="74"/>
      <c r="D106" s="429"/>
      <c r="E106" s="246" t="s">
        <v>358</v>
      </c>
      <c r="F106" s="243" t="s">
        <v>357</v>
      </c>
      <c r="N106" s="75"/>
    </row>
    <row r="107" spans="2:14" ht="13" x14ac:dyDescent="0.3">
      <c r="B107" s="74"/>
      <c r="D107" s="437" t="s">
        <v>355</v>
      </c>
      <c r="E107" s="6">
        <f>MasseSans</f>
        <v>9</v>
      </c>
      <c r="F107" s="244">
        <f ca="1">MassePlein</f>
        <v>12.510999999999999</v>
      </c>
      <c r="N107" s="75"/>
    </row>
    <row r="108" spans="2:14" ht="13" x14ac:dyDescent="0.3">
      <c r="B108" s="74"/>
      <c r="D108" s="431" t="s">
        <v>356</v>
      </c>
      <c r="E108" s="274">
        <f>XcgSans</f>
        <v>709</v>
      </c>
      <c r="F108" s="260">
        <f ca="1">XcgPlein</f>
        <v>946.97682039804977</v>
      </c>
      <c r="N108" s="75"/>
    </row>
    <row r="109" spans="2:14" x14ac:dyDescent="0.25">
      <c r="B109" s="74"/>
      <c r="N109" s="75"/>
    </row>
    <row r="110" spans="2:14" ht="13" x14ac:dyDescent="0.3">
      <c r="B110" s="74"/>
      <c r="D110" s="438" t="s">
        <v>359</v>
      </c>
      <c r="E110" s="439">
        <f ca="1">MasseVide</f>
        <v>10.638</v>
      </c>
      <c r="G110" s="429" t="s">
        <v>360</v>
      </c>
      <c r="H110" s="265"/>
      <c r="I110" s="265"/>
      <c r="J110" s="266"/>
      <c r="N110" s="75"/>
    </row>
    <row r="111" spans="2:14" ht="13" x14ac:dyDescent="0.3">
      <c r="B111" s="74"/>
      <c r="G111" s="276" t="s">
        <v>216</v>
      </c>
      <c r="H111" s="6">
        <f>Beta_rampe</f>
        <v>85</v>
      </c>
      <c r="I111" s="6">
        <v>80</v>
      </c>
      <c r="J111" s="244">
        <v>90</v>
      </c>
      <c r="N111" s="75"/>
    </row>
    <row r="112" spans="2:14" ht="13" x14ac:dyDescent="0.25">
      <c r="B112" s="74"/>
      <c r="G112" s="278" t="s">
        <v>218</v>
      </c>
      <c r="H112" s="247">
        <f ca="1">Temps_culmi</f>
        <v>19.599999999999948</v>
      </c>
      <c r="I112" s="259"/>
      <c r="J112" s="268"/>
      <c r="N112" s="75"/>
    </row>
    <row r="113" spans="2:14" ht="12.75" customHeight="1" x14ac:dyDescent="0.35">
      <c r="B113" s="74"/>
      <c r="D113" s="435" t="s">
        <v>361</v>
      </c>
      <c r="E113" s="48"/>
      <c r="G113" s="278" t="s">
        <v>219</v>
      </c>
      <c r="H113" s="242">
        <f ca="1">Altitude_culmi</f>
        <v>2003.535757896926</v>
      </c>
      <c r="I113" s="259"/>
      <c r="J113" s="268"/>
      <c r="N113" s="75"/>
    </row>
    <row r="114" spans="2:14" ht="12.75" customHeight="1" x14ac:dyDescent="0.35">
      <c r="B114" s="74"/>
      <c r="D114" s="48"/>
      <c r="E114" s="48"/>
      <c r="F114" s="435"/>
      <c r="G114" s="278" t="s">
        <v>220</v>
      </c>
      <c r="H114" s="248">
        <f ca="1">Vit_culmi</f>
        <v>15.737576195554743</v>
      </c>
      <c r="I114" s="259"/>
      <c r="J114" s="268"/>
      <c r="N114" s="75"/>
    </row>
    <row r="115" spans="2:14" ht="13" x14ac:dyDescent="0.3">
      <c r="B115" s="74"/>
      <c r="C115" s="429" t="s">
        <v>362</v>
      </c>
      <c r="D115" s="249"/>
      <c r="E115" s="446">
        <v>0.1</v>
      </c>
      <c r="G115" s="278" t="s">
        <v>136</v>
      </c>
      <c r="H115" s="242">
        <f ca="1">Portee_balistique</f>
        <v>638.40045476391947</v>
      </c>
      <c r="I115" s="259"/>
      <c r="J115" s="268"/>
      <c r="N115" s="75"/>
    </row>
    <row r="116" spans="2:14" ht="12.75" customHeight="1" x14ac:dyDescent="0.3">
      <c r="B116" s="74"/>
      <c r="C116" s="431" t="s">
        <v>363</v>
      </c>
      <c r="D116" s="255"/>
      <c r="E116" s="447">
        <f>E_ail*(m_ail+n_ail)/2</f>
        <v>29733</v>
      </c>
      <c r="G116" s="278" t="s">
        <v>140</v>
      </c>
      <c r="H116" s="248">
        <f ca="1">Vit_max</f>
        <v>230.09908389735511</v>
      </c>
      <c r="I116" s="259"/>
      <c r="J116" s="268"/>
      <c r="N116" s="75"/>
    </row>
    <row r="117" spans="2:14" ht="12.75" customHeight="1" x14ac:dyDescent="0.3">
      <c r="B117" s="74"/>
      <c r="D117" s="48"/>
      <c r="E117" s="48"/>
      <c r="F117" s="48"/>
      <c r="G117" s="278" t="s">
        <v>139</v>
      </c>
      <c r="H117" s="242">
        <f ca="1">Acc_max</f>
        <v>92.799419596995548</v>
      </c>
      <c r="I117" s="259"/>
      <c r="J117" s="268"/>
      <c r="N117" s="75"/>
    </row>
    <row r="118" spans="2:14" ht="13" x14ac:dyDescent="0.3">
      <c r="B118" s="74"/>
      <c r="C118" s="429" t="s">
        <v>364</v>
      </c>
      <c r="D118" s="249"/>
      <c r="E118" s="457"/>
      <c r="F118" s="458">
        <f>J90/100</f>
        <v>14.86</v>
      </c>
      <c r="G118" s="276" t="s">
        <v>5</v>
      </c>
      <c r="H118" s="6">
        <f>Cx</f>
        <v>0.6</v>
      </c>
      <c r="I118" s="259"/>
      <c r="J118" s="268"/>
      <c r="N118" s="75"/>
    </row>
    <row r="119" spans="2:14" ht="13" x14ac:dyDescent="0.3">
      <c r="B119" s="74"/>
      <c r="C119" s="437" t="s">
        <v>365</v>
      </c>
      <c r="D119" s="2"/>
      <c r="E119" s="459">
        <f ca="1">2*Acc_max*MasseSans</f>
        <v>1670.3895527459199</v>
      </c>
      <c r="F119" s="460">
        <f ca="1">E119/g</f>
        <v>170.27416439815696</v>
      </c>
      <c r="G119" s="269" t="s">
        <v>225</v>
      </c>
      <c r="H119" s="270"/>
      <c r="I119" s="270"/>
      <c r="J119" s="271"/>
      <c r="N119" s="75"/>
    </row>
    <row r="120" spans="2:14" ht="13" x14ac:dyDescent="0.3">
      <c r="B120" s="74"/>
      <c r="C120" s="437" t="s">
        <v>366</v>
      </c>
      <c r="D120" s="2"/>
      <c r="E120" s="459">
        <f ca="1">2*Acc_max*E115</f>
        <v>18.559883919399109</v>
      </c>
      <c r="F120" s="460">
        <f ca="1">E120/g</f>
        <v>1.8919351599795218</v>
      </c>
      <c r="N120" s="75"/>
    </row>
    <row r="121" spans="2:14" ht="13" x14ac:dyDescent="0.3">
      <c r="B121" s="74"/>
      <c r="C121" s="431" t="s">
        <v>367</v>
      </c>
      <c r="D121" s="255"/>
      <c r="E121" s="452">
        <f ca="1">0.104*E116/1000000*Vit_max^2</f>
        <v>163.7200427414744</v>
      </c>
      <c r="F121" s="453">
        <f ca="1">E121/g</f>
        <v>16.689097119416349</v>
      </c>
      <c r="G121" s="48"/>
      <c r="H121" s="48"/>
      <c r="I121" s="48"/>
      <c r="J121" s="48"/>
      <c r="N121" s="75"/>
    </row>
    <row r="122" spans="2:14" ht="12.75" customHeight="1" x14ac:dyDescent="0.25">
      <c r="B122" s="74"/>
      <c r="H122" s="48"/>
      <c r="I122" s="48"/>
      <c r="J122" s="48"/>
      <c r="N122" s="75"/>
    </row>
    <row r="123" spans="2:14" ht="12.75" customHeight="1" x14ac:dyDescent="0.35">
      <c r="B123" s="74"/>
      <c r="G123" s="435"/>
      <c r="H123" s="435"/>
      <c r="I123" s="435"/>
      <c r="J123" s="48"/>
      <c r="N123" s="75"/>
    </row>
    <row r="124" spans="2:14" ht="12.75" customHeight="1" x14ac:dyDescent="0.35">
      <c r="B124" s="74"/>
      <c r="C124" s="48"/>
      <c r="D124" s="435" t="s">
        <v>368</v>
      </c>
      <c r="E124" s="448"/>
      <c r="J124" s="48"/>
      <c r="K124" s="48"/>
      <c r="N124" s="75"/>
    </row>
    <row r="125" spans="2:14" ht="13" x14ac:dyDescent="0.3">
      <c r="B125" s="74"/>
      <c r="C125" s="445" t="s">
        <v>369</v>
      </c>
      <c r="J125" s="48"/>
      <c r="K125" s="48"/>
      <c r="N125" s="75"/>
    </row>
    <row r="126" spans="2:14" ht="13" x14ac:dyDescent="0.3">
      <c r="B126" s="74"/>
      <c r="C126" s="429" t="s">
        <v>370</v>
      </c>
      <c r="D126" s="249"/>
      <c r="E126" s="449">
        <v>4</v>
      </c>
      <c r="G126" s="48"/>
      <c r="J126" s="48"/>
      <c r="N126" s="75"/>
    </row>
    <row r="127" spans="2:14" ht="13" x14ac:dyDescent="0.3">
      <c r="B127" s="74"/>
      <c r="C127" s="431" t="s">
        <v>371</v>
      </c>
      <c r="D127" s="255"/>
      <c r="E127" s="456">
        <f>S_para</f>
        <v>1.5070049999999999</v>
      </c>
      <c r="G127" s="48"/>
      <c r="J127" s="48"/>
      <c r="N127" s="75"/>
    </row>
    <row r="128" spans="2:14" ht="13" x14ac:dyDescent="0.3">
      <c r="B128" s="74"/>
      <c r="C128" s="669" t="s">
        <v>372</v>
      </c>
      <c r="D128" s="670"/>
      <c r="E128" s="450">
        <f ca="1">0.5*Rho_moyen*S_para*Vit_culmi^2</f>
        <v>228.61066023084189</v>
      </c>
      <c r="F128" s="451">
        <f ca="1">E128/g</f>
        <v>23.303838963388571</v>
      </c>
      <c r="H128" s="48"/>
      <c r="I128" s="48"/>
      <c r="J128" s="48"/>
      <c r="K128" s="48"/>
      <c r="N128" s="75"/>
    </row>
    <row r="129" spans="2:14" ht="13" x14ac:dyDescent="0.3">
      <c r="B129" s="74"/>
      <c r="C129" s="667" t="s">
        <v>373</v>
      </c>
      <c r="D129" s="668"/>
      <c r="E129" s="452">
        <f ca="1">E128/E126*2</f>
        <v>114.30533011542094</v>
      </c>
      <c r="F129" s="453">
        <f ca="1">E129/g</f>
        <v>11.651919481694286</v>
      </c>
      <c r="H129" s="48"/>
      <c r="I129" s="48"/>
      <c r="J129" s="48"/>
      <c r="K129" s="48"/>
      <c r="N129" s="75"/>
    </row>
    <row r="130" spans="2:14" x14ac:dyDescent="0.25">
      <c r="B130" s="74"/>
      <c r="C130" s="47"/>
      <c r="D130" s="47"/>
      <c r="E130" s="443"/>
      <c r="F130" s="444"/>
      <c r="H130" s="48"/>
      <c r="I130" s="48"/>
      <c r="J130" s="48"/>
      <c r="K130" s="48"/>
      <c r="N130" s="75"/>
    </row>
    <row r="131" spans="2:14" ht="13" x14ac:dyDescent="0.3">
      <c r="B131" s="74"/>
      <c r="C131" s="445" t="s">
        <v>374</v>
      </c>
      <c r="D131" s="48"/>
      <c r="E131" s="48"/>
      <c r="F131" s="48"/>
      <c r="G131" s="48"/>
      <c r="H131" s="48"/>
      <c r="I131" s="48"/>
      <c r="J131" s="48"/>
      <c r="K131" s="48"/>
      <c r="N131" s="75"/>
    </row>
    <row r="132" spans="2:14" ht="13" x14ac:dyDescent="0.3">
      <c r="B132" s="74"/>
      <c r="C132" s="669" t="s">
        <v>375</v>
      </c>
      <c r="D132" s="670"/>
      <c r="E132" s="454">
        <v>1</v>
      </c>
      <c r="F132" s="48"/>
      <c r="G132" s="48"/>
      <c r="H132" s="48"/>
      <c r="I132" s="48"/>
      <c r="J132" s="442"/>
      <c r="K132" s="48"/>
      <c r="N132" s="75"/>
    </row>
    <row r="133" spans="2:14" ht="13" x14ac:dyDescent="0.3">
      <c r="B133" s="74"/>
      <c r="C133" s="667" t="s">
        <v>376</v>
      </c>
      <c r="D133" s="668"/>
      <c r="E133" s="455">
        <f ca="1">2*E132*Acc_max/g</f>
        <v>18.919351599795217</v>
      </c>
      <c r="F133" s="48"/>
      <c r="G133" s="48"/>
      <c r="H133" s="48"/>
      <c r="I133" s="48"/>
      <c r="J133" s="48"/>
      <c r="K133" s="48"/>
      <c r="N133" s="75"/>
    </row>
    <row r="134" spans="2:14" ht="13" thickBot="1" x14ac:dyDescent="0.3">
      <c r="B134" s="77"/>
      <c r="C134" s="461"/>
      <c r="D134" s="461"/>
      <c r="E134" s="461"/>
      <c r="F134" s="461"/>
      <c r="G134" s="461"/>
      <c r="H134" s="461"/>
      <c r="I134" s="461"/>
      <c r="J134" s="461"/>
      <c r="K134" s="461"/>
      <c r="L134" s="78"/>
      <c r="M134" s="78"/>
      <c r="N134" s="79"/>
    </row>
  </sheetData>
  <sheetProtection password="C6AC" sheet="1"/>
  <mergeCells count="22">
    <mergeCell ref="E31:G31"/>
    <mergeCell ref="M29:M30"/>
    <mergeCell ref="H30:I30"/>
    <mergeCell ref="L29:L30"/>
    <mergeCell ref="H31:I31"/>
    <mergeCell ref="C133:D133"/>
    <mergeCell ref="C128:D128"/>
    <mergeCell ref="C129:D129"/>
    <mergeCell ref="C132:D132"/>
    <mergeCell ref="H44:I44"/>
    <mergeCell ref="H45:I45"/>
    <mergeCell ref="H46:I46"/>
    <mergeCell ref="H11:I11"/>
    <mergeCell ref="H12:I12"/>
    <mergeCell ref="H13:I13"/>
    <mergeCell ref="H29:K29"/>
    <mergeCell ref="C29:C30"/>
    <mergeCell ref="D29:D30"/>
    <mergeCell ref="H17:I17"/>
    <mergeCell ref="H18:I18"/>
    <mergeCell ref="H19:I19"/>
    <mergeCell ref="E29:G30"/>
  </mergeCells>
  <phoneticPr fontId="8" type="noConversion"/>
  <conditionalFormatting sqref="D18:E18">
    <cfRule type="expression" dxfId="2" priority="2" stopIfTrue="1">
      <formula>IF(Propu="Cariacou",0,1)</formula>
    </cfRule>
  </conditionalFormatting>
  <conditionalFormatting sqref="F18:I19">
    <cfRule type="expression" dxfId="1" priority="1" stopIfTrue="1">
      <formula>IF(Propu="Cariacou",1,0)</formula>
    </cfRule>
  </conditionalFormatting>
  <conditionalFormatting sqref="I16 I68:I73">
    <cfRule type="expression" dxfId="0" priority="6" stopIfTrue="1">
      <formula>Nb_sat="0 satellite"</formula>
    </cfRule>
  </conditionalFormatting>
  <pageMargins left="0.39370078740157483" right="0.39370078740157483" top="0.39370078740157483" bottom="0.39370078740157483" header="0" footer="0"/>
  <pageSetup paperSize="9" scale="61" orientation="portrait"/>
  <ignoredErrors>
    <ignoredError sqref="H65 H63" unlocked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214</vt:i4>
      </vt:variant>
    </vt:vector>
  </HeadingPairs>
  <TitlesOfParts>
    <vt:vector size="222" baseType="lpstr">
      <vt:lpstr>Stabilito</vt:lpstr>
      <vt:lpstr>Trajecto</vt:lpstr>
      <vt:lpstr>Courbes</vt:lpstr>
      <vt:lpstr>Propu</vt:lpstr>
      <vt:lpstr>Calculs</vt:lpstr>
      <vt:lpstr>Abaco</vt:lpstr>
      <vt:lpstr>Info</vt:lpstr>
      <vt:lpstr>Controle</vt:lpstr>
      <vt:lpstr>a_prop</vt:lpstr>
      <vt:lpstr>Acc_max</vt:lpstr>
      <vt:lpstr>acc_x</vt:lpstr>
      <vt:lpstr>acc_xz</vt:lpstr>
      <vt:lpstr>acc_z</vt:lpstr>
      <vt:lpstr>Alt_para</vt:lpstr>
      <vt:lpstr>alt_prop</vt:lpstr>
      <vt:lpstr>Alt_rampe</vt:lpstr>
      <vt:lpstr>Alt_sat</vt:lpstr>
      <vt:lpstr>Altitude_culmi</vt:lpstr>
      <vt:lpstr>b_bal</vt:lpstr>
      <vt:lpstr>b_prop</vt:lpstr>
      <vt:lpstr>Beta</vt:lpstr>
      <vt:lpstr>Beta_rampe</vt:lpstr>
      <vt:lpstr>BetaD</vt:lpstr>
      <vt:lpstr>CdP</vt:lpstr>
      <vt:lpstr>CdP_P</vt:lpstr>
      <vt:lpstr>CdP_t</vt:lpstr>
      <vt:lpstr>Club</vt:lpstr>
      <vt:lpstr>Cn</vt:lpstr>
      <vt:lpstr>Cn0</vt:lpstr>
      <vt:lpstr>Stabilito!Cnai</vt:lpstr>
      <vt:lpstr>Cnai0</vt:lpstr>
      <vt:lpstr>Stabilito!Cnail</vt:lpstr>
      <vt:lpstr>Stabilito!Cnc</vt:lpstr>
      <vt:lpstr>Stabilito!Cni</vt:lpstr>
      <vt:lpstr>Cni0</vt:lpstr>
      <vt:lpstr>Stabilito!Cnj</vt:lpstr>
      <vt:lpstr>Stabilito!Cno</vt:lpstr>
      <vt:lpstr>Stabilito!Cnr</vt:lpstr>
      <vt:lpstr>Combustion</vt:lpstr>
      <vt:lpstr>Stabilito!CritCnmax</vt:lpstr>
      <vt:lpstr>Stabilito!CritCnmin</vt:lpstr>
      <vt:lpstr>Stabilito!CritFinessemax</vt:lpstr>
      <vt:lpstr>Stabilito!CritFinessemin</vt:lpstr>
      <vt:lpstr>Stabilito!CritMsCnmax</vt:lpstr>
      <vt:lpstr>Stabilito!CritMsCnmin</vt:lpstr>
      <vt:lpstr>Stabilito!CritMsmax</vt:lpstr>
      <vt:lpstr>Stabilito!CritMsmin</vt:lpstr>
      <vt:lpstr>Cx</vt:lpstr>
      <vt:lpstr>Cx_para</vt:lpstr>
      <vt:lpstr>Cx_satellite</vt:lpstr>
      <vt:lpstr>D_ail</vt:lpstr>
      <vt:lpstr>Stabilito!D_can</vt:lpstr>
      <vt:lpstr>Stabilito!D_int</vt:lpstr>
      <vt:lpstr>D_og</vt:lpstr>
      <vt:lpstr>D_ref</vt:lpstr>
      <vt:lpstr>D_var</vt:lpstr>
      <vt:lpstr>D1j</vt:lpstr>
      <vt:lpstr>D1r</vt:lpstr>
      <vt:lpstr>D2j</vt:lpstr>
      <vt:lpstr>D2r</vt:lpstr>
      <vt:lpstr>Débit</vt:lpstr>
      <vt:lpstr>Depotage</vt:lpstr>
      <vt:lpstr>Diam_propu</vt:lpstr>
      <vt:lpstr>Dt_para</vt:lpstr>
      <vt:lpstr>Dt_satellite</vt:lpstr>
      <vt:lpstr>Dx_para</vt:lpstr>
      <vt:lpstr>Dx_sat</vt:lpstr>
      <vt:lpstr>E_ail</vt:lpstr>
      <vt:lpstr>E_can</vt:lpstr>
      <vt:lpstr>Stabilito!E_int</vt:lpstr>
      <vt:lpstr>ep_ail</vt:lpstr>
      <vt:lpstr>ep_can</vt:lpstr>
      <vt:lpstr>Stabilito!ep_int</vt:lpstr>
      <vt:lpstr>Event</vt:lpstr>
      <vt:lpstr>Event_para</vt:lpstr>
      <vt:lpstr>Event_sat</vt:lpstr>
      <vt:lpstr>Stabilito!f_ail</vt:lpstr>
      <vt:lpstr>Stabilito!f_can</vt:lpstr>
      <vt:lpstr>Stabilito!f_int</vt:lpstr>
      <vt:lpstr>Finesse</vt:lpstr>
      <vt:lpstr>Forme_ogive</vt:lpstr>
      <vt:lpstr>g</vt:lpstr>
      <vt:lpstr>i_P</vt:lpstr>
      <vt:lpstr>I_total</vt:lpstr>
      <vt:lpstr>ISP</vt:lpstr>
      <vt:lpstr>l_j</vt:lpstr>
      <vt:lpstr>l_r</vt:lpstr>
      <vt:lpstr>L_rampe</vt:lpstr>
      <vt:lpstr>Lang</vt:lpstr>
      <vt:lpstr>Liste_µfu</vt:lpstr>
      <vt:lpstr>Liste_fusex</vt:lpstr>
      <vt:lpstr>Liste_H2O</vt:lpstr>
      <vt:lpstr>Liste_minif</vt:lpstr>
      <vt:lpstr>Liste_minifT</vt:lpstr>
      <vt:lpstr>Liste_propu</vt:lpstr>
      <vt:lpstr>Liste_RC</vt:lpstr>
      <vt:lpstr>Long_ogive</vt:lpstr>
      <vt:lpstr>Long_propu</vt:lpstr>
      <vt:lpstr>Long_tot</vt:lpstr>
      <vt:lpstr>m</vt:lpstr>
      <vt:lpstr>m_ail</vt:lpstr>
      <vt:lpstr>m_bal</vt:lpstr>
      <vt:lpstr>m_can</vt:lpstr>
      <vt:lpstr>Stabilito!m_int</vt:lpstr>
      <vt:lpstr>m_poudre</vt:lpstr>
      <vt:lpstr>m_prop</vt:lpstr>
      <vt:lpstr>m_satellite</vt:lpstr>
      <vt:lpstr>m_tot</vt:lpstr>
      <vt:lpstr>m_var</vt:lpstr>
      <vt:lpstr>m_vide</vt:lpstr>
      <vt:lpstr>Masse_ail</vt:lpstr>
      <vt:lpstr>MassePlein</vt:lpstr>
      <vt:lpstr>MasseSans</vt:lpstr>
      <vt:lpstr>MasseVide</vt:lpstr>
      <vt:lpstr>Menu_Empennage</vt:lpstr>
      <vt:lpstr>Menu_Lang</vt:lpstr>
      <vt:lpstr>Menu_Ogive</vt:lpstr>
      <vt:lpstr>Menu_sat</vt:lpstr>
      <vt:lpstr>Menu_Transitions</vt:lpstr>
      <vt:lpstr>Menu_Type</vt:lpstr>
      <vt:lpstr>Menu_with_motor</vt:lpstr>
      <vt:lpstr>MpropuPlein</vt:lpstr>
      <vt:lpstr>MpropuVide</vt:lpstr>
      <vt:lpstr>MS_Cn_max</vt:lpstr>
      <vt:lpstr>MS_Cn_min</vt:lpstr>
      <vt:lpstr>MS_max</vt:lpstr>
      <vt:lpstr>MS_min</vt:lpstr>
      <vt:lpstr>n_ail</vt:lpstr>
      <vt:lpstr>n_can</vt:lpstr>
      <vt:lpstr>Stabilito!n_int</vt:lpstr>
      <vt:lpstr>Nb_diam</vt:lpstr>
      <vt:lpstr>Nb_sat</vt:lpstr>
      <vt:lpstr>Nom</vt:lpstr>
      <vt:lpstr>p_ail</vt:lpstr>
      <vt:lpstr>p_can</vt:lpstr>
      <vt:lpstr>Stabilito!p_int</vt:lpstr>
      <vt:lpstr>pas</vt:lpstr>
      <vt:lpstr>Poids</vt:lpstr>
      <vt:lpstr>Portee_balistique</vt:lpstr>
      <vt:lpstr>pos_x</vt:lpstr>
      <vt:lpstr>pos_xz</vt:lpstr>
      <vt:lpstr>pos_z</vt:lpstr>
      <vt:lpstr>pos_z_montant</vt:lpstr>
      <vt:lpstr>Poussee</vt:lpstr>
      <vt:lpstr>Propu</vt:lpstr>
      <vt:lpstr>Q_ail</vt:lpstr>
      <vt:lpstr>Q_can</vt:lpstr>
      <vt:lpstr>Stabilito!Q_int</vt:lpstr>
      <vt:lpstr>Q_var</vt:lpstr>
      <vt:lpstr>R_rampe</vt:lpstr>
      <vt:lpstr>Rho</vt:lpstr>
      <vt:lpstr>Rho_moyen</vt:lpstr>
      <vt:lpstr>S_ail</vt:lpstr>
      <vt:lpstr>S_para</vt:lpstr>
      <vt:lpstr>S_para_croix</vt:lpstr>
      <vt:lpstr>S_para_rond</vt:lpstr>
      <vt:lpstr>S_satellite</vt:lpstr>
      <vt:lpstr>Sref</vt:lpstr>
      <vt:lpstr>sS</vt:lpstr>
      <vt:lpstr>t</vt:lpstr>
      <vt:lpstr>T_balistique</vt:lpstr>
      <vt:lpstr>T_ini</vt:lpstr>
      <vt:lpstr>T_para</vt:lpstr>
      <vt:lpstr>T_satellite</vt:lpstr>
      <vt:lpstr>Temps_culmi</vt:lpstr>
      <vt:lpstr>Temps_fin_propu</vt:lpstr>
      <vt:lpstr>Trainee</vt:lpstr>
      <vt:lpstr>tT_fus</vt:lpstr>
      <vt:lpstr>tT_sat</vt:lpstr>
      <vt:lpstr>Type_fusee</vt:lpstr>
      <vt:lpstr>Abaco!Type_masquage</vt:lpstr>
      <vt:lpstr>Stabilito!Type_masquage</vt:lpstr>
      <vt:lpstr>Type_propu</vt:lpstr>
      <vt:lpstr>V_ini</vt:lpstr>
      <vt:lpstr>V_ouv_sat</vt:lpstr>
      <vt:lpstr>V_ouverture</vt:lpstr>
      <vt:lpstr>V_para</vt:lpstr>
      <vt:lpstr>V_prop</vt:lpstr>
      <vt:lpstr>V_satellite</vt:lpstr>
      <vt:lpstr>V_vent</vt:lpstr>
      <vt:lpstr>V_vent_sat</vt:lpstr>
      <vt:lpstr>Stabilito!Version</vt:lpstr>
      <vt:lpstr>Trajecto!Version</vt:lpstr>
      <vt:lpstr>Vit_culmi</vt:lpstr>
      <vt:lpstr>Vit_max</vt:lpstr>
      <vt:lpstr>vit_x</vt:lpstr>
      <vt:lpstr>vit_xz</vt:lpstr>
      <vt:lpstr>vit_z</vt:lpstr>
      <vt:lpstr>Vsortie_de_rampe</vt:lpstr>
      <vt:lpstr>X_ail</vt:lpstr>
      <vt:lpstr>X_can</vt:lpstr>
      <vt:lpstr>X_culmi</vt:lpstr>
      <vt:lpstr>X_ini</vt:lpstr>
      <vt:lpstr>Stabilito!X_int</vt:lpstr>
      <vt:lpstr>X_j</vt:lpstr>
      <vt:lpstr>X_para</vt:lpstr>
      <vt:lpstr>X_r</vt:lpstr>
      <vt:lpstr>X_satellite</vt:lpstr>
      <vt:lpstr>XcgPlein</vt:lpstr>
      <vt:lpstr>XcgSans</vt:lpstr>
      <vt:lpstr>XcgVide</vt:lpstr>
      <vt:lpstr>Stabilito!XCp</vt:lpstr>
      <vt:lpstr>XCp0</vt:lpstr>
      <vt:lpstr>Stabilito!XCpa</vt:lpstr>
      <vt:lpstr>Stabilito!XCpai</vt:lpstr>
      <vt:lpstr>XCpai0</vt:lpstr>
      <vt:lpstr>Stabilito!XCpc</vt:lpstr>
      <vt:lpstr>Stabilito!XCpi</vt:lpstr>
      <vt:lpstr>XCpi0</vt:lpstr>
      <vt:lpstr>Stabilito!XCpj</vt:lpstr>
      <vt:lpstr>Stabilito!XCpo</vt:lpstr>
      <vt:lpstr>Stabilito!XCpr</vt:lpstr>
      <vt:lpstr>XpropuPlein</vt:lpstr>
      <vt:lpstr>XpropuRef</vt:lpstr>
      <vt:lpstr>XpropuVide</vt:lpstr>
      <vt:lpstr>Z_ini</vt:lpstr>
      <vt:lpstr>Abaco!Zone_d_impression</vt:lpstr>
      <vt:lpstr>Courbes!Zone_d_impression</vt:lpstr>
      <vt:lpstr>Stabilito!Zone_d_impression</vt:lpstr>
      <vt:lpstr>Trajecto!Zone_d_impression</vt:lpstr>
      <vt:lpstr>zZ_fus</vt:lpstr>
      <vt:lpstr>zZ_sat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StabTraj</dc:title>
  <dc:creator>Léo Côme;Sylvain Besson</dc:creator>
  <cp:lastModifiedBy>Alexis Paillard</cp:lastModifiedBy>
  <cp:lastPrinted>2011-11-08T21:12:34Z</cp:lastPrinted>
  <dcterms:created xsi:type="dcterms:W3CDTF">2008-11-03T20:48:06Z</dcterms:created>
  <dcterms:modified xsi:type="dcterms:W3CDTF">2025-02-20T07:34:23Z</dcterms:modified>
</cp:coreProperties>
</file>